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FLEET &amp; SETTINGS" sheetId="2" state="visible" r:id="rId4"/>
    <sheet name="QUOTE CHECK" sheetId="3" state="visible" r:id="rId5"/>
    <sheet name="TRIPS" sheetId="4" state="visible" r:id="rId6"/>
    <sheet name="DASHBOARD" sheetId="5" state="visible" r:id="rId7"/>
    <sheet name="CHECKS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<sst xmlns="http://schemas.openxmlformats.org/spreadsheetml/2006/main" count="373" uniqueCount="161">
  <si>
    <t xml:space="preserve">Truck Profit DEMO</t>
  </si>
  <si>
    <t xml:space="preserve">Free demonstration | Metric European road-freight model | No macros</t>
  </si>
  <si>
    <t xml:space="preserve">Test one real trip and see the cost, break-even rate and profit before buying.</t>
  </si>
  <si>
    <t xml:space="preserve">What this workbook answers</t>
  </si>
  <si>
    <t xml:space="preserve">How to use it safely</t>
  </si>
  <si>
    <t xml:space="preserve">What does this trip really cost?</t>
  </si>
  <si>
    <t xml:space="preserve">1. Replace yellow sample inputs with your own figures.</t>
  </si>
  <si>
    <t xml:space="preserve">How much fuel will it use?</t>
  </si>
  <si>
    <t xml:space="preserve">2. Enter amounts excluding VAT if you reclaim VAT; otherwise enter gross amounts.</t>
  </si>
  <si>
    <t xml:space="preserve">What is the break-even €/km?</t>
  </si>
  <si>
    <t xml:space="preserve">3. Keep loaded and empty kilometres separate.</t>
  </si>
  <si>
    <t xml:space="preserve">Is the quoted rate GOOD, THIN or a LOSS?</t>
  </si>
  <si>
    <t xml:space="preserve">4. Review the CHECKS sheet before relying on the result.</t>
  </si>
  <si>
    <t xml:space="preserve">What changes when empty kilometres increase?</t>
  </si>
  <si>
    <t xml:space="preserve">5. This is a planning tool, not accounting or tax advice.</t>
  </si>
  <si>
    <t xml:space="preserve">Input and calculation legend</t>
  </si>
  <si>
    <t xml:space="preserve">YELLOW</t>
  </si>
  <si>
    <t xml:space="preserve">Editable input</t>
  </si>
  <si>
    <t xml:space="preserve">BLUE</t>
  </si>
  <si>
    <t xml:space="preserve">Formula / result</t>
  </si>
  <si>
    <t xml:space="preserve">GREEN</t>
  </si>
  <si>
    <t xml:space="preserve">Healthy / profitable</t>
  </si>
  <si>
    <t xml:space="preserve">RED</t>
  </si>
  <si>
    <t xml:space="preserve">Warning / loss</t>
  </si>
  <si>
    <t xml:space="preserve">EUR</t>
  </si>
  <si>
    <t xml:space="preserve">Single currency model</t>
  </si>
  <si>
    <t xml:space="preserve">km</t>
  </si>
  <si>
    <t xml:space="preserve">Metric distance model</t>
  </si>
  <si>
    <t xml:space="preserve">Method and sources</t>
  </si>
  <si>
    <t xml:space="preserve">Core method: cost per kilometre = total relevant costs ÷ total kilometres. Quote price adds the selected target margin to the calculated trip cost.</t>
  </si>
  <si>
    <t xml:space="preserve">Method reference: https://www.geotab.com/blog/trucking-cost-per-mile-calculator/</t>
  </si>
  <si>
    <t xml:space="preserve">European vehicle-cost reference: https://www.wko.at/transport-verkehr/gueterbefoerderungsgewerbe/lkw-kalkulationsmodell</t>
  </si>
  <si>
    <t xml:space="preserve">Product support: https://eurotrucktools.com/contact/</t>
  </si>
  <si>
    <t xml:space="preserve">Demo limitation</t>
  </si>
  <si>
    <t xml:space="preserve">This free DEMO contains sample data and a limited calculator. STARTER adds editable trip history and a live dashboard. PRO adds a larger fleet, fixed-cost allocation, maintenance tracking and deeper analysis. Upgrade at https://eurotrucktools.com/truck-profit-calculator-excel/</t>
  </si>
  <si>
    <t xml:space="preserve">Truck Profit DEMO – Fleet &amp; Settings</t>
  </si>
  <si>
    <t xml:space="preserve">Yellow cells are editable. Use one unique code per truck.</t>
  </si>
  <si>
    <t xml:space="preserve">Model settings</t>
  </si>
  <si>
    <t xml:space="preserve">Analysis year</t>
  </si>
  <si>
    <t xml:space="preserve">Currency</t>
  </si>
  <si>
    <t xml:space="preserve">Default target margin</t>
  </si>
  <si>
    <t xml:space="preserve">Default fuel price, €/l</t>
  </si>
  <si>
    <t xml:space="preserve">VAT input method</t>
  </si>
  <si>
    <t xml:space="preserve">Net if reclaimable</t>
  </si>
  <si>
    <t xml:space="preserve">Fleet assumptions (3 trucks)</t>
  </si>
  <si>
    <t xml:space="preserve">Truck code</t>
  </si>
  <si>
    <t xml:space="preserve">Description</t>
  </si>
  <si>
    <t xml:space="preserve">Planned km / month</t>
  </si>
  <si>
    <t xml:space="preserve">Consumption l/100 km</t>
  </si>
  <si>
    <t xml:space="preserve">Maintenance reserve €/km</t>
  </si>
  <si>
    <t xml:space="preserve">Lease / depreciation €/month</t>
  </si>
  <si>
    <t xml:space="preserve">Insurance &amp; permits €/month</t>
  </si>
  <si>
    <t xml:space="preserve">Other fixed €/month</t>
  </si>
  <si>
    <t xml:space="preserve">Fixed cost €/km</t>
  </si>
  <si>
    <t xml:space="preserve">Active</t>
  </si>
  <si>
    <t xml:space="preserve">VOLVO-01</t>
  </si>
  <si>
    <t xml:space="preserve">Volvo FH</t>
  </si>
  <si>
    <t xml:space="preserve">YES</t>
  </si>
  <si>
    <t xml:space="preserve">SCANIA-02</t>
  </si>
  <si>
    <t xml:space="preserve">Scania R</t>
  </si>
  <si>
    <t xml:space="preserve">DAF-03</t>
  </si>
  <si>
    <t xml:space="preserve">DAF XG</t>
  </si>
  <si>
    <t xml:space="preserve">Fixed cost €/km allocates lease/depreciation, insurance/permits and other fixed costs across planned monthly kilometres. Use realistic planned kilometres; very low values can overstate cost/km.</t>
  </si>
  <si>
    <t xml:space="preserve">Truck Profit DEMO – Quote Check</t>
  </si>
  <si>
    <t xml:space="preserve">Change yellow inputs. Blue cells calculate automatically.</t>
  </si>
  <si>
    <t xml:space="preserve">Trip inputs</t>
  </si>
  <si>
    <t xml:space="preserve">Decision</t>
  </si>
  <si>
    <t xml:space="preserve">Date</t>
  </si>
  <si>
    <t xml:space="preserve">Total distance, km</t>
  </si>
  <si>
    <t xml:space="preserve">Truck</t>
  </si>
  <si>
    <t xml:space="preserve">Empty distance share</t>
  </si>
  <si>
    <t xml:space="preserve">Customer / route</t>
  </si>
  <si>
    <t xml:space="preserve">Kaunas–Hamburg</t>
  </si>
  <si>
    <t xml:space="preserve">Fuel needed, l</t>
  </si>
  <si>
    <t xml:space="preserve">Loaded km</t>
  </si>
  <si>
    <t xml:space="preserve">Fuel cost</t>
  </si>
  <si>
    <t xml:space="preserve">Empty km</t>
  </si>
  <si>
    <t xml:space="preserve">Maintenance provision</t>
  </si>
  <si>
    <t xml:space="preserve">Quoted revenue, €</t>
  </si>
  <si>
    <t xml:space="preserve">Fixed-cost allocation</t>
  </si>
  <si>
    <t xml:space="preserve">Consumption, l/100 km</t>
  </si>
  <si>
    <t xml:space="preserve">Total trip cost</t>
  </si>
  <si>
    <t xml:space="preserve">Fuel price, €/l</t>
  </si>
  <si>
    <t xml:space="preserve">Break-even, €/km</t>
  </si>
  <si>
    <t xml:space="preserve">Tolls, €</t>
  </si>
  <si>
    <t xml:space="preserve">Revenue, €/km</t>
  </si>
  <si>
    <t xml:space="preserve">Ferry, €</t>
  </si>
  <si>
    <t xml:space="preserve">Expected profit</t>
  </si>
  <si>
    <t xml:space="preserve">Parking, €</t>
  </si>
  <si>
    <t xml:space="preserve">Profit margin</t>
  </si>
  <si>
    <t xml:space="preserve">AdBlue, €</t>
  </si>
  <si>
    <t xml:space="preserve">Price at target margin</t>
  </si>
  <si>
    <t xml:space="preserve">Driver trip cost, €</t>
  </si>
  <si>
    <t xml:space="preserve">Maintenance reserve, €/km</t>
  </si>
  <si>
    <t xml:space="preserve">Fixed cost, €/km</t>
  </si>
  <si>
    <t xml:space="preserve">Other trip costs, €</t>
  </si>
  <si>
    <t xml:space="preserve">Target margin</t>
  </si>
  <si>
    <t xml:space="preserve">GOOD = quoted margin meets or exceeds the selected target. THIN = still profitable, but below target. LOSS = the quoted revenue does not cover the entered trip costs.</t>
  </si>
  <si>
    <t xml:space="preserve">Truck Profit DEMO – Trip Log</t>
  </si>
  <si>
    <t xml:space="preserve">Sample trips only in the free demo.</t>
  </si>
  <si>
    <t xml:space="preserve">Month</t>
  </si>
  <si>
    <t xml:space="preserve">Total km</t>
  </si>
  <si>
    <t xml:space="preserve">Revenue €</t>
  </si>
  <si>
    <t xml:space="preserve">l/100 km</t>
  </si>
  <si>
    <t xml:space="preserve">€/l</t>
  </si>
  <si>
    <t xml:space="preserve">Fuel l</t>
  </si>
  <si>
    <t xml:space="preserve">Fuel €</t>
  </si>
  <si>
    <t xml:space="preserve">Tolls</t>
  </si>
  <si>
    <t xml:space="preserve">Ferry</t>
  </si>
  <si>
    <t xml:space="preserve">Parking</t>
  </si>
  <si>
    <t xml:space="preserve">AdBlue</t>
  </si>
  <si>
    <t xml:space="preserve">Driver</t>
  </si>
  <si>
    <t xml:space="preserve">Maint. €/km</t>
  </si>
  <si>
    <t xml:space="preserve">Maint. €</t>
  </si>
  <si>
    <t xml:space="preserve">Fixed €/km</t>
  </si>
  <si>
    <t xml:space="preserve">Fixed €</t>
  </si>
  <si>
    <t xml:space="preserve">Other</t>
  </si>
  <si>
    <t xml:space="preserve">Total cost</t>
  </si>
  <si>
    <t xml:space="preserve">Cost €/km</t>
  </si>
  <si>
    <t xml:space="preserve">Profit</t>
  </si>
  <si>
    <t xml:space="preserve">Margin</t>
  </si>
  <si>
    <t xml:space="preserve">Revenue €/km</t>
  </si>
  <si>
    <t xml:space="preserve">Status</t>
  </si>
  <si>
    <t xml:space="preserve">Vilnius–Warsaw</t>
  </si>
  <si>
    <t xml:space="preserve">Vilnius–Munich</t>
  </si>
  <si>
    <t xml:space="preserve">Vilnius–Gdansk</t>
  </si>
  <si>
    <t xml:space="preserve">Truck Profit DEMO – Dashboard</t>
  </si>
  <si>
    <t xml:space="preserve">Illustrative sample results</t>
  </si>
  <si>
    <t xml:space="preserve">Know the real cost per kilometre, trip profitability and where margin is being lost.</t>
  </si>
  <si>
    <t xml:space="preserve">REVENUE</t>
  </si>
  <si>
    <t xml:space="preserve">TOTAL COST</t>
  </si>
  <si>
    <t xml:space="preserve">PROFIT</t>
  </si>
  <si>
    <t xml:space="preserve">MARGIN</t>
  </si>
  <si>
    <t xml:space="preserve">TRIPS</t>
  </si>
  <si>
    <t xml:space="preserve">TOTAL KM</t>
  </si>
  <si>
    <t xml:space="preserve">COST / KM</t>
  </si>
  <si>
    <t xml:space="preserve">EMPTY KM</t>
  </si>
  <si>
    <t xml:space="preserve">Monthly performance</t>
  </si>
  <si>
    <t xml:space="preserve">Performance by truck</t>
  </si>
  <si>
    <t xml:space="preserve">Revenue</t>
  </si>
  <si>
    <t xml:space="preserve">Cost</t>
  </si>
  <si>
    <t xml:space="preserve">Trips</t>
  </si>
  <si>
    <t xml:space="preserve">Truck Profit DEMO – Model Checks</t>
  </si>
  <si>
    <t xml:space="preserve">Every result should be OK before relying on the workbook.</t>
  </si>
  <si>
    <t xml:space="preserve">Check</t>
  </si>
  <si>
    <t xml:space="preserve">Found / difference</t>
  </si>
  <si>
    <t xml:space="preserve">Meaning</t>
  </si>
  <si>
    <t xml:space="preserve">Negative kilometres</t>
  </si>
  <si>
    <t xml:space="preserve">Distance cannot be negative.</t>
  </si>
  <si>
    <t xml:space="preserve">Negative revenue</t>
  </si>
  <si>
    <t xml:space="preserve">Revenue should not be negative.</t>
  </si>
  <si>
    <t xml:space="preserve">Trip without truck</t>
  </si>
  <si>
    <t xml:space="preserve">Every used row needs a truck.</t>
  </si>
  <si>
    <t xml:space="preserve">Trip with zero km</t>
  </si>
  <si>
    <t xml:space="preserve">A recorded trip needs distance.</t>
  </si>
  <si>
    <t xml:space="preserve">Dashboard revenue tie</t>
  </si>
  <si>
    <t xml:space="preserve">Difference must be zero.</t>
  </si>
  <si>
    <t xml:space="preserve">Dashboard profit tie</t>
  </si>
  <si>
    <t xml:space="preserve">Quote calculation tie</t>
  </si>
  <si>
    <t xml:space="preserve">Expected profit must equal revenue minus cost.</t>
  </si>
  <si>
    <t xml:space="preserve">OVERALL STATUS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</si>
</sst>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%"/>
    <numFmt numFmtId="166" formatCode="\€0.00"/>
    <numFmt numFmtId="167" formatCode="#,##0"/>
    <numFmt numFmtId="168" formatCode="0.0"/>
    <numFmt numFmtId="169" formatCode="yyyy\-mm\-dd"/>
    <numFmt numFmtId="170" formatCode="\€#,##0.00"/>
    <numFmt numFmtId="171" formatCode="\€#,##0"/>
    <numFmt numFmtId="172" formatCode="0"/>
  </numFmts>
  <fonts count="2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5D6D7E"/>
      <name val="Calibri"/>
      <family val="0"/>
      <charset val="1"/>
    </font>
    <font>
      <b val="true"/>
      <sz val="12"/>
      <color rgb="FF102A43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1"/>
      <color rgb="FF172B4D"/>
      <name val="Calibri"/>
      <family val="0"/>
      <charset val="1"/>
    </font>
    <font>
      <b val="true"/>
      <sz val="11"/>
      <color rgb="FF172B4D"/>
      <name val="Calibri"/>
      <family val="0"/>
      <charset val="1"/>
    </font>
    <font>
      <b val="true"/>
      <sz val="11"/>
      <color rgb="FF102A43"/>
      <name val="Calibri"/>
      <family val="0"/>
      <charset val="1"/>
    </font>
    <font>
      <b val="true"/>
      <sz val="11"/>
      <color rgb="FF198754"/>
      <name val="Calibri"/>
      <family val="0"/>
      <charset val="1"/>
    </font>
    <font>
      <b val="true"/>
      <sz val="11"/>
      <color rgb="FFC0392B"/>
      <name val="Calibri"/>
      <family val="0"/>
      <charset val="1"/>
    </font>
    <font>
      <sz val="10"/>
      <color rgb="FF5D6D7E"/>
      <name val="Calibri"/>
      <family val="0"/>
      <charset val="1"/>
    </font>
    <font>
      <b val="true"/>
      <sz val="11"/>
      <color rgb="FF0000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  <font>
      <sz val="11"/>
      <color rgb="FF102A43"/>
      <name val="Calibri"/>
      <family val="0"/>
      <charset val="1"/>
    </font>
    <font>
      <i val="true"/>
      <sz val="11"/>
      <color rgb="FF5D6D7E"/>
      <name val="Calibri"/>
      <family val="0"/>
      <charset val="1"/>
    </font>
    <font>
      <b val="true"/>
      <sz val="13"/>
      <color rgb="FF198754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102A43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3"/>
      <color rgb="FFFFFFFF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02A43"/>
        <bgColor rgb="FF172B4D"/>
      </patternFill>
    </fill>
    <fill>
      <patternFill patternType="solid">
        <fgColor rgb="FFEEF6FC"/>
        <bgColor rgb="FFF5F7FA"/>
      </patternFill>
    </fill>
    <fill>
      <patternFill patternType="solid">
        <fgColor rgb="FFF4B942"/>
        <bgColor rgb="FFFF9900"/>
      </patternFill>
    </fill>
    <fill>
      <patternFill patternType="solid">
        <fgColor rgb="FF1677C8"/>
        <bgColor rgb="FF3366FF"/>
      </patternFill>
    </fill>
    <fill>
      <patternFill patternType="solid">
        <fgColor rgb="FFF5F7FA"/>
        <bgColor rgb="FFEEF6FC"/>
      </patternFill>
    </fill>
    <fill>
      <patternFill patternType="solid">
        <fgColor rgb="FFFFF2CC"/>
        <bgColor rgb="FFFBE5E5"/>
      </patternFill>
    </fill>
    <fill>
      <patternFill patternType="solid">
        <fgColor rgb="FFD9F0FF"/>
        <bgColor rgb="FFDFF3E6"/>
      </patternFill>
    </fill>
    <fill>
      <patternFill patternType="solid">
        <fgColor rgb="FFDFF3E6"/>
        <bgColor rgb="FFD9F0FF"/>
      </patternFill>
    </fill>
    <fill>
      <patternFill patternType="solid">
        <fgColor rgb="FFFBE5E5"/>
        <bgColor rgb="FFFFF2CC"/>
      </patternFill>
    </fill>
    <fill>
      <patternFill patternType="solid">
        <fgColor rgb="FFFFFFFF"/>
        <bgColor rgb="FFF5F7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6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5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9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4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9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7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8" fillId="8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5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22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2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11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4" fillId="11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11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9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ont>
        <b val="1"/>
        <color rgb="FFC0392B"/>
      </font>
      <fill>
        <patternFill>
          <bgColor rgb="FFFBE5E5"/>
        </patternFill>
      </fill>
    </dxf>
    <dxf>
      <font>
        <b val="1"/>
        <color rgb="FF172B4D"/>
      </font>
      <fill>
        <patternFill>
          <bgColor rgb="FFFFF2CC"/>
        </patternFill>
      </fill>
    </dxf>
    <dxf>
      <font>
        <b val="1"/>
        <color rgb="FFC0392B"/>
      </font>
      <fill>
        <patternFill>
          <bgColor rgb="FFFBE5E5"/>
        </patternFill>
      </fill>
    </dxf>
    <dxf>
      <font>
        <b val="1"/>
        <color rgb="FF172B4D"/>
      </font>
      <fill>
        <patternFill>
          <bgColor rgb="FFFFF2CC"/>
        </patternFill>
      </fill>
    </dxf>
    <dxf>
      <font>
        <b val="1"/>
        <color rgb="FF198754"/>
      </font>
      <fill>
        <patternFill>
          <bgColor rgb="FFDFF3E6"/>
        </patternFill>
      </fill>
    </dxf>
    <dxf>
      <font>
        <b val="1"/>
        <color rgb="FFC0392B"/>
      </font>
      <fill>
        <patternFill>
          <bgColor rgb="FFFBE5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98754"/>
      <rgbColor rgb="FFCCCCCC"/>
      <rgbColor rgb="FF8B8B8B"/>
      <rgbColor rgb="FF9999FF"/>
      <rgbColor rgb="FF993366"/>
      <rgbColor rgb="FFFFF2CC"/>
      <rgbColor rgb="FFD9F0FF"/>
      <rgbColor rgb="FF660066"/>
      <rgbColor rgb="FFFF8080"/>
      <rgbColor rgb="FF1677C8"/>
      <rgbColor rgb="FFD5DEE8"/>
      <rgbColor rgb="FF000080"/>
      <rgbColor rgb="FFFF00FF"/>
      <rgbColor rgb="FFFFFF00"/>
      <rgbColor rgb="FF00FFFF"/>
      <rgbColor rgb="FF800080"/>
      <rgbColor rgb="FF800000"/>
      <rgbColor rgb="FF156082"/>
      <rgbColor rgb="FF0000FF"/>
      <rgbColor rgb="FF00CCFF"/>
      <rgbColor rgb="FFDFF3E6"/>
      <rgbColor rgb="FFEEF6FC"/>
      <rgbColor rgb="FFFBE5E5"/>
      <rgbColor rgb="FFF5F7FA"/>
      <rgbColor rgb="FFFF99CC"/>
      <rgbColor rgb="FFCC99FF"/>
      <rgbColor rgb="FFD9D9D9"/>
      <rgbColor rgb="FF3366FF"/>
      <rgbColor rgb="FF33CCCC"/>
      <rgbColor rgb="FF99CC00"/>
      <rgbColor rgb="FFF4B942"/>
      <rgbColor rgb="FFFF9900"/>
      <rgbColor rgb="FFE97132"/>
      <rgbColor rgb="FF5D6D7E"/>
      <rgbColor rgb="FF969696"/>
      <rgbColor rgb="FF102A43"/>
      <rgbColor rgb="FF339966"/>
      <rgbColor rgb="FF003300"/>
      <rgbColor rgb="FF333300"/>
      <rgbColor rgb="FFC0392B"/>
      <rgbColor rgb="FF993366"/>
      <rgbColor rgb="FF333399"/>
      <rgbColor rgb="FF172B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Monthly revenue, cost and profit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"Revenue"</c:f>
              <c:strCache>
                <c:ptCount val="1"/>
                <c:pt idx="0">
                  <c:v>Revenue</c:v>
                </c:pt>
              </c:strCache>
            </c:strRef>
          </c:tx>
          <c:spPr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DASHBOARD!$B$17:$B$28</c:f>
              <c:numCache>
                <c:formatCode>\€#,##0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3600</c:v>
                </c:pt>
                <c:pt idx="6">
                  <c:v>2540</c:v>
                </c:pt>
                <c:pt idx="7">
                  <c:v>3210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"Cost"</c:f>
              <c:strCache>
                <c:ptCount val="1"/>
                <c:pt idx="0">
                  <c:v>Cost</c:v>
                </c:pt>
              </c:strCache>
            </c:strRef>
          </c:tx>
          <c:spPr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DASHBOARD!$C$17:$C$28</c:f>
              <c:numCache>
                <c:formatCode>\€#,##0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2564.1728969697</c:v>
                </c:pt>
                <c:pt idx="6">
                  <c:v>1925.5697037037</c:v>
                </c:pt>
                <c:pt idx="7">
                  <c:v>2304.16294545455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"Profit"</c:f>
              <c:strCache>
                <c:ptCount val="1"/>
                <c:pt idx="0">
                  <c:v>Profit</c:v>
                </c:pt>
              </c:strCache>
            </c:strRef>
          </c:tx>
          <c:spPr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DASHBOARD!$A$17:$A$28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DASHBOARD!$D$17:$D$28</c:f>
              <c:numCache>
                <c:formatCode>\€#,##0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1035.8271030303</c:v>
                </c:pt>
                <c:pt idx="6">
                  <c:v>614.430296296296</c:v>
                </c:pt>
                <c:pt idx="7">
                  <c:v>905.837054545455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54044"/>
        <c:axId val="3987242"/>
      </c:barChart>
      <c:catAx>
        <c:axId val="554044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3987242"/>
        <c:crosses val="autoZero"/>
        <c:auto val="1"/>
        <c:lblAlgn val="ctr"/>
        <c:lblOffset val="100"/>
        <c:noMultiLvlLbl val="0"/>
      </c:catAx>
      <c:valAx>
        <c:axId val="3987242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54044"/>
        <c:crosses val="autoZero"/>
        <c:crossBetween val="between"/>
      </c:valAx>
      <c:spPr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</a:p>
      </c:txPr>
    </c:legend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29</xdr:row>
      <xdr:rowOff>0</xdr:rowOff>
    </xdr:from>
    <xdr:to>
      <xdr:col>11</xdr:col>
      <xdr:colOff>986400</xdr:colOff>
      <xdr:row>44</xdr:row>
      <xdr:rowOff>190080</xdr:rowOff>
    </xdr:to>
    <xdr:graphicFrame>
      <xdr:nvGraphicFramePr>
        <xdr:cNvPr id="1" name="Chart"/>
        <xdr:cNvGraphicFramePr/>
      </xdr:nvGraphicFramePr>
      <xdr:xfrm>
        <a:off x="6907680" y="6095880"/>
        <a:ext cx="4933440" cy="30477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4" min="2" style="0" width="15"/>
    <col collapsed="false" customWidth="true" hidden="false" outlineLevel="0" max="5" min="5" style="0" width="17"/>
    <col collapsed="false" customWidth="true" hidden="false" outlineLevel="0" max="8" min="6" style="0" width="15"/>
  </cols>
  <sheetData>
    <row r="1" customFormat="false" ht="38" hidden="false" customHeight="tru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customFormat="false" ht="28" hidden="false" customHeight="true" outlineLevel="0" collapsed="false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4" customFormat="false" ht="40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24" hidden="false" customHeight="true" outlineLevel="0" collapsed="false">
      <c r="A6" s="4" t="s">
        <v>3</v>
      </c>
      <c r="B6" s="4" t="s">
        <v>3</v>
      </c>
      <c r="C6" s="4" t="s">
        <v>3</v>
      </c>
      <c r="D6" s="4" t="s">
        <v>3</v>
      </c>
      <c r="E6" s="4" t="s">
        <v>4</v>
      </c>
      <c r="F6" s="4" t="s">
        <v>4</v>
      </c>
      <c r="G6" s="4" t="s">
        <v>4</v>
      </c>
      <c r="H6" s="4" t="s">
        <v>4</v>
      </c>
    </row>
    <row r="7" customFormat="false" ht="15" hidden="false" customHeight="true" outlineLevel="0" collapsed="false">
      <c r="A7" s="5" t="s">
        <v>5</v>
      </c>
      <c r="B7" s="5"/>
      <c r="C7" s="5"/>
      <c r="D7" s="5"/>
      <c r="E7" s="6" t="s">
        <v>6</v>
      </c>
      <c r="F7" s="6"/>
      <c r="G7" s="6"/>
      <c r="H7" s="6"/>
    </row>
    <row r="8" customFormat="false" ht="23.85" hidden="false" customHeight="true" outlineLevel="0" collapsed="false">
      <c r="A8" s="5" t="s">
        <v>7</v>
      </c>
      <c r="B8" s="5"/>
      <c r="C8" s="5"/>
      <c r="D8" s="5"/>
      <c r="E8" s="6" t="s">
        <v>8</v>
      </c>
      <c r="F8" s="6"/>
      <c r="G8" s="6"/>
      <c r="H8" s="6"/>
    </row>
    <row r="9" customFormat="false" ht="15" hidden="false" customHeight="true" outlineLevel="0" collapsed="false">
      <c r="A9" s="5" t="s">
        <v>9</v>
      </c>
      <c r="B9" s="5"/>
      <c r="C9" s="5"/>
      <c r="D9" s="5"/>
      <c r="E9" s="6" t="s">
        <v>10</v>
      </c>
      <c r="F9" s="6"/>
      <c r="G9" s="6"/>
      <c r="H9" s="6"/>
    </row>
    <row r="10" customFormat="false" ht="15" hidden="false" customHeight="true" outlineLevel="0" collapsed="false">
      <c r="A10" s="5" t="s">
        <v>11</v>
      </c>
      <c r="B10" s="5"/>
      <c r="C10" s="5"/>
      <c r="D10" s="5"/>
      <c r="E10" s="6" t="s">
        <v>12</v>
      </c>
      <c r="F10" s="6"/>
      <c r="G10" s="6"/>
      <c r="H10" s="6"/>
    </row>
    <row r="11" customFormat="false" ht="15" hidden="false" customHeight="true" outlineLevel="0" collapsed="false">
      <c r="A11" s="5" t="s">
        <v>13</v>
      </c>
      <c r="B11" s="5"/>
      <c r="C11" s="5"/>
      <c r="D11" s="5"/>
      <c r="E11" s="6" t="s">
        <v>14</v>
      </c>
      <c r="F11" s="6"/>
      <c r="G11" s="6"/>
      <c r="H11" s="6"/>
    </row>
    <row r="14" customFormat="false" ht="24" hidden="false" customHeight="true" outlineLevel="0" collapsed="false">
      <c r="A14" s="7" t="s">
        <v>15</v>
      </c>
      <c r="B14" s="7" t="s">
        <v>15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</row>
    <row r="15" customFormat="false" ht="15" hidden="false" customHeight="false" outlineLevel="0" collapsed="false">
      <c r="A15" s="8" t="s">
        <v>16</v>
      </c>
      <c r="B15" s="9" t="s">
        <v>17</v>
      </c>
      <c r="C15" s="9"/>
      <c r="D15" s="9"/>
      <c r="E15" s="10" t="s">
        <v>18</v>
      </c>
      <c r="F15" s="9" t="s">
        <v>19</v>
      </c>
      <c r="G15" s="9"/>
      <c r="H15" s="9"/>
    </row>
    <row r="16" customFormat="false" ht="15" hidden="false" customHeight="false" outlineLevel="0" collapsed="false">
      <c r="A16" s="11" t="s">
        <v>20</v>
      </c>
      <c r="B16" s="9" t="s">
        <v>21</v>
      </c>
      <c r="C16" s="9"/>
      <c r="D16" s="9"/>
      <c r="E16" s="12" t="s">
        <v>22</v>
      </c>
      <c r="F16" s="9" t="s">
        <v>23</v>
      </c>
      <c r="G16" s="9"/>
      <c r="H16" s="9"/>
    </row>
    <row r="17" customFormat="false" ht="15" hidden="false" customHeight="false" outlineLevel="0" collapsed="false">
      <c r="A17" s="13" t="s">
        <v>24</v>
      </c>
      <c r="B17" s="9" t="s">
        <v>25</v>
      </c>
      <c r="C17" s="9"/>
      <c r="D17" s="9"/>
      <c r="E17" s="13" t="s">
        <v>26</v>
      </c>
      <c r="F17" s="9" t="s">
        <v>27</v>
      </c>
      <c r="G17" s="9"/>
      <c r="H17" s="9"/>
    </row>
    <row r="20" customFormat="false" ht="24" hidden="false" customHeight="true" outlineLevel="0" collapsed="false">
      <c r="A20" s="4" t="s">
        <v>28</v>
      </c>
      <c r="B20" s="4" t="s">
        <v>28</v>
      </c>
      <c r="C20" s="4" t="s">
        <v>28</v>
      </c>
      <c r="D20" s="4" t="s">
        <v>28</v>
      </c>
      <c r="E20" s="4" t="s">
        <v>28</v>
      </c>
      <c r="F20" s="4" t="s">
        <v>28</v>
      </c>
      <c r="G20" s="4" t="s">
        <v>28</v>
      </c>
      <c r="H20" s="4" t="s">
        <v>28</v>
      </c>
    </row>
    <row r="21" customFormat="false" ht="15" hidden="false" customHeight="true" outlineLevel="0" collapsed="false">
      <c r="A21" s="14" t="s">
        <v>29</v>
      </c>
      <c r="B21" s="14"/>
      <c r="C21" s="14"/>
      <c r="D21" s="14"/>
      <c r="E21" s="14"/>
      <c r="F21" s="14"/>
      <c r="G21" s="14"/>
      <c r="H21" s="14"/>
    </row>
    <row r="22" customFormat="false" ht="15" hidden="false" customHeight="true" outlineLevel="0" collapsed="false">
      <c r="A22" s="14" t="s">
        <v>30</v>
      </c>
      <c r="B22" s="14"/>
      <c r="C22" s="14"/>
      <c r="D22" s="14"/>
      <c r="E22" s="14"/>
      <c r="F22" s="14"/>
      <c r="G22" s="14"/>
      <c r="H22" s="14"/>
    </row>
    <row r="23" customFormat="false" ht="15" hidden="false" customHeight="true" outlineLevel="0" collapsed="false">
      <c r="A23" s="14" t="s">
        <v>31</v>
      </c>
      <c r="B23" s="14"/>
      <c r="C23" s="14"/>
      <c r="D23" s="14"/>
      <c r="E23" s="14"/>
      <c r="F23" s="14"/>
      <c r="G23" s="14"/>
      <c r="H23" s="14"/>
    </row>
    <row r="24" customFormat="false" ht="15" hidden="false" customHeight="true" outlineLevel="0" collapsed="false">
      <c r="A24" s="14" t="s">
        <v>32</v>
      </c>
      <c r="B24" s="14"/>
      <c r="C24" s="14"/>
      <c r="D24" s="14"/>
      <c r="E24" s="14"/>
      <c r="F24" s="14"/>
      <c r="G24" s="14"/>
      <c r="H24" s="14"/>
    </row>
    <row r="27" customFormat="false" ht="24" hidden="false" customHeight="true" outlineLevel="0" collapsed="false">
      <c r="A27" s="4" t="s">
        <v>33</v>
      </c>
      <c r="B27" s="4" t="s">
        <v>33</v>
      </c>
      <c r="C27" s="4" t="s">
        <v>33</v>
      </c>
      <c r="D27" s="4" t="s">
        <v>33</v>
      </c>
      <c r="E27" s="4" t="s">
        <v>33</v>
      </c>
      <c r="F27" s="4" t="s">
        <v>33</v>
      </c>
      <c r="G27" s="4" t="s">
        <v>33</v>
      </c>
      <c r="H27" s="4" t="s">
        <v>33</v>
      </c>
    </row>
    <row r="28" customFormat="false" ht="15" hidden="false" customHeight="true" outlineLevel="0" collapsed="false">
      <c r="A28" s="15" t="s">
        <v>34</v>
      </c>
      <c r="B28" s="15"/>
      <c r="C28" s="15"/>
      <c r="D28" s="15"/>
      <c r="E28" s="15"/>
      <c r="F28" s="15"/>
      <c r="G28" s="15"/>
      <c r="H28" s="15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  <c r="G29" s="15"/>
      <c r="H29" s="15"/>
    </row>
  </sheetData>
  <mergeCells count="29">
    <mergeCell ref="A1:H1"/>
    <mergeCell ref="A2:H2"/>
    <mergeCell ref="A4:H4"/>
    <mergeCell ref="A6:D6"/>
    <mergeCell ref="E6:H6"/>
    <mergeCell ref="A7:D7"/>
    <mergeCell ref="E7:H7"/>
    <mergeCell ref="A8:D8"/>
    <mergeCell ref="E8:H8"/>
    <mergeCell ref="A9:D9"/>
    <mergeCell ref="E9:H9"/>
    <mergeCell ref="A10:D10"/>
    <mergeCell ref="E10:H10"/>
    <mergeCell ref="A11:D11"/>
    <mergeCell ref="E11:H11"/>
    <mergeCell ref="A14:H14"/>
    <mergeCell ref="B15:D15"/>
    <mergeCell ref="F15:H15"/>
    <mergeCell ref="B16:D16"/>
    <mergeCell ref="F16:H16"/>
    <mergeCell ref="B17:D17"/>
    <mergeCell ref="F17:H17"/>
    <mergeCell ref="A20:H20"/>
    <mergeCell ref="A21:H21"/>
    <mergeCell ref="A22:H22"/>
    <mergeCell ref="A23:H23"/>
    <mergeCell ref="A24:H24"/>
    <mergeCell ref="A27:H27"/>
    <mergeCell ref="A28:H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6" min="5" style="0" width="20"/>
    <col collapsed="false" customWidth="true" hidden="false" outlineLevel="0" max="7" min="7" style="0" width="21"/>
    <col collapsed="false" customWidth="true" hidden="false" outlineLevel="0" max="8" min="8" style="0" width="19"/>
    <col collapsed="false" customWidth="true" hidden="false" outlineLevel="0" max="9" min="9" style="0" width="15"/>
    <col collapsed="false" customWidth="true" hidden="false" outlineLevel="0" max="10" min="10" style="0" width="11"/>
  </cols>
  <sheetData>
    <row r="1" customFormat="false" ht="38" hidden="false" customHeight="true" outlineLevel="0" collapsed="false">
      <c r="A1" s="1" t="s">
        <v>35</v>
      </c>
      <c r="B1" s="1" t="s">
        <v>35</v>
      </c>
      <c r="C1" s="1" t="s">
        <v>35</v>
      </c>
      <c r="D1" s="1" t="s">
        <v>35</v>
      </c>
      <c r="E1" s="1" t="s">
        <v>35</v>
      </c>
      <c r="F1" s="1" t="s">
        <v>35</v>
      </c>
      <c r="G1" s="1" t="s">
        <v>35</v>
      </c>
      <c r="H1" s="1" t="s">
        <v>35</v>
      </c>
      <c r="I1" s="1" t="s">
        <v>35</v>
      </c>
      <c r="J1" s="1" t="s">
        <v>35</v>
      </c>
    </row>
    <row r="2" customFormat="false" ht="28" hidden="false" customHeight="true" outlineLevel="0" collapsed="false">
      <c r="A2" s="2" t="s">
        <v>36</v>
      </c>
      <c r="B2" s="2" t="s">
        <v>36</v>
      </c>
      <c r="C2" s="2" t="s">
        <v>36</v>
      </c>
      <c r="D2" s="2" t="s">
        <v>36</v>
      </c>
      <c r="E2" s="2" t="s">
        <v>36</v>
      </c>
      <c r="F2" s="2" t="s">
        <v>36</v>
      </c>
      <c r="G2" s="2" t="s">
        <v>36</v>
      </c>
      <c r="H2" s="2" t="s">
        <v>36</v>
      </c>
      <c r="I2" s="2" t="s">
        <v>36</v>
      </c>
      <c r="J2" s="2" t="s">
        <v>36</v>
      </c>
    </row>
    <row r="4" customFormat="false" ht="24" hidden="false" customHeight="true" outlineLevel="0" collapsed="false">
      <c r="A4" s="7" t="s">
        <v>37</v>
      </c>
      <c r="B4" s="7" t="s">
        <v>37</v>
      </c>
      <c r="C4" s="7" t="s">
        <v>37</v>
      </c>
    </row>
    <row r="5" customFormat="false" ht="15" hidden="false" customHeight="false" outlineLevel="0" collapsed="false">
      <c r="A5" s="13" t="s">
        <v>38</v>
      </c>
      <c r="B5" s="16" t="n">
        <v>2026</v>
      </c>
    </row>
    <row r="6" customFormat="false" ht="15" hidden="false" customHeight="false" outlineLevel="0" collapsed="false">
      <c r="A6" s="13" t="s">
        <v>39</v>
      </c>
      <c r="B6" s="16" t="s">
        <v>24</v>
      </c>
    </row>
    <row r="7" customFormat="false" ht="15" hidden="false" customHeight="false" outlineLevel="0" collapsed="false">
      <c r="A7" s="13" t="s">
        <v>40</v>
      </c>
      <c r="B7" s="17" t="n">
        <v>0.15</v>
      </c>
    </row>
    <row r="8" customFormat="false" ht="15" hidden="false" customHeight="false" outlineLevel="0" collapsed="false">
      <c r="A8" s="13" t="s">
        <v>41</v>
      </c>
      <c r="B8" s="18" t="n">
        <v>1.55</v>
      </c>
    </row>
    <row r="9" customFormat="false" ht="15" hidden="false" customHeight="false" outlineLevel="0" collapsed="false">
      <c r="A9" s="13" t="s">
        <v>42</v>
      </c>
      <c r="B9" s="16" t="s">
        <v>43</v>
      </c>
    </row>
    <row r="12" customFormat="false" ht="24" hidden="false" customHeight="true" outlineLevel="0" collapsed="false">
      <c r="A12" s="7" t="s">
        <v>44</v>
      </c>
      <c r="B12" s="7" t="s">
        <v>44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 t="s">
        <v>44</v>
      </c>
      <c r="I12" s="7" t="s">
        <v>44</v>
      </c>
      <c r="J12" s="7" t="s">
        <v>44</v>
      </c>
    </row>
    <row r="13" customFormat="false" ht="44" hidden="false" customHeight="true" outlineLevel="0" collapsed="false">
      <c r="A13" s="19" t="s">
        <v>45</v>
      </c>
      <c r="B13" s="19" t="s">
        <v>46</v>
      </c>
      <c r="C13" s="19" t="s">
        <v>47</v>
      </c>
      <c r="D13" s="19" t="s">
        <v>48</v>
      </c>
      <c r="E13" s="19" t="s">
        <v>49</v>
      </c>
      <c r="F13" s="19" t="s">
        <v>50</v>
      </c>
      <c r="G13" s="19" t="s">
        <v>51</v>
      </c>
      <c r="H13" s="19" t="s">
        <v>52</v>
      </c>
      <c r="I13" s="19" t="s">
        <v>53</v>
      </c>
      <c r="J13" s="19" t="s">
        <v>54</v>
      </c>
    </row>
    <row r="14" customFormat="false" ht="15" hidden="false" customHeight="false" outlineLevel="0" collapsed="false">
      <c r="A14" s="20" t="s">
        <v>55</v>
      </c>
      <c r="B14" s="20" t="s">
        <v>56</v>
      </c>
      <c r="C14" s="21" t="n">
        <v>11000</v>
      </c>
      <c r="D14" s="22" t="n">
        <v>27.5</v>
      </c>
      <c r="E14" s="23" t="n">
        <v>0.12</v>
      </c>
      <c r="F14" s="23" t="n">
        <v>1450</v>
      </c>
      <c r="G14" s="23" t="n">
        <v>330</v>
      </c>
      <c r="H14" s="23" t="n">
        <v>320</v>
      </c>
      <c r="I14" s="24" t="n">
        <f aca="false">IFERROR((F14+G14+H14)/C14,0)</f>
        <v>0.190909090909091</v>
      </c>
      <c r="J14" s="20" t="s">
        <v>57</v>
      </c>
    </row>
    <row r="15" customFormat="false" ht="15" hidden="false" customHeight="false" outlineLevel="0" collapsed="false">
      <c r="A15" s="20" t="s">
        <v>58</v>
      </c>
      <c r="B15" s="20" t="s">
        <v>59</v>
      </c>
      <c r="C15" s="21" t="n">
        <v>10500</v>
      </c>
      <c r="D15" s="22" t="n">
        <v>26.8</v>
      </c>
      <c r="E15" s="23" t="n">
        <v>0.12</v>
      </c>
      <c r="F15" s="23" t="n">
        <v>1500</v>
      </c>
      <c r="G15" s="23" t="n">
        <v>340</v>
      </c>
      <c r="H15" s="23" t="n">
        <v>310</v>
      </c>
      <c r="I15" s="24" t="n">
        <f aca="false">IFERROR((F15+G15+H15)/C15,0)</f>
        <v>0.204761904761905</v>
      </c>
      <c r="J15" s="20" t="s">
        <v>57</v>
      </c>
    </row>
    <row r="16" customFormat="false" ht="15" hidden="false" customHeight="false" outlineLevel="0" collapsed="false">
      <c r="A16" s="20" t="s">
        <v>60</v>
      </c>
      <c r="B16" s="20" t="s">
        <v>61</v>
      </c>
      <c r="C16" s="21" t="n">
        <v>10800</v>
      </c>
      <c r="D16" s="22" t="n">
        <v>28</v>
      </c>
      <c r="E16" s="23" t="n">
        <v>0.13</v>
      </c>
      <c r="F16" s="23" t="n">
        <v>1380</v>
      </c>
      <c r="G16" s="23" t="n">
        <v>320</v>
      </c>
      <c r="H16" s="23" t="n">
        <v>300</v>
      </c>
      <c r="I16" s="24" t="n">
        <f aca="false">IFERROR((F16+G16+H16)/C16,0)</f>
        <v>0.185185185185185</v>
      </c>
      <c r="J16" s="20" t="s">
        <v>57</v>
      </c>
    </row>
    <row r="19" customFormat="false" ht="15" hidden="false" customHeight="true" outlineLevel="0" collapsed="false">
      <c r="A19" s="25" t="s">
        <v>62</v>
      </c>
      <c r="B19" s="25"/>
      <c r="C19" s="25"/>
      <c r="D19" s="25"/>
      <c r="E19" s="25"/>
      <c r="F19" s="25"/>
      <c r="G19" s="25"/>
      <c r="H19" s="25"/>
      <c r="I19" s="25"/>
      <c r="J19" s="25"/>
    </row>
    <row r="20" customFormat="false" ht="15" hidden="false" customHeight="false" outlineLevel="0" collapsed="false">
      <c r="A20" s="25"/>
      <c r="B20" s="25"/>
      <c r="C20" s="25"/>
      <c r="D20" s="25"/>
      <c r="E20" s="25"/>
      <c r="F20" s="25"/>
      <c r="G20" s="25"/>
      <c r="H20" s="25"/>
      <c r="I20" s="25"/>
      <c r="J20" s="25"/>
    </row>
  </sheetData>
  <mergeCells count="5">
    <mergeCell ref="A1:J1"/>
    <mergeCell ref="A2:J2"/>
    <mergeCell ref="A4:C4"/>
    <mergeCell ref="A12:J12"/>
    <mergeCell ref="A19:J20"/>
  </mergeCells>
  <dataValidations count="1">
    <dataValidation allowBlank="false" errorStyle="stop" operator="between" showDropDown="false" showErrorMessage="false" showInputMessage="false" sqref="J14:J16" type="list">
      <formula1>"YES,NO"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5"/>
    <col collapsed="false" customWidth="true" hidden="false" outlineLevel="0" max="3" min="3" style="0" width="20"/>
    <col collapsed="false" customWidth="true" hidden="false" outlineLevel="0" max="4" min="4" style="0" width="5"/>
    <col collapsed="false" customWidth="true" hidden="false" outlineLevel="0" max="5" min="5" style="0" width="20"/>
    <col collapsed="false" customWidth="true" hidden="false" outlineLevel="0" max="6" min="6" style="0" width="5"/>
    <col collapsed="false" customWidth="true" hidden="false" outlineLevel="0" max="7" min="7" style="0" width="20"/>
    <col collapsed="false" customWidth="true" hidden="false" outlineLevel="0" max="8" min="8" style="0" width="5"/>
  </cols>
  <sheetData>
    <row r="1" customFormat="false" ht="38" hidden="false" customHeight="true" outlineLevel="0" collapsed="false">
      <c r="A1" s="1" t="s">
        <v>63</v>
      </c>
      <c r="B1" s="1" t="s">
        <v>63</v>
      </c>
      <c r="C1" s="1" t="s">
        <v>63</v>
      </c>
      <c r="D1" s="1" t="s">
        <v>63</v>
      </c>
      <c r="E1" s="1" t="s">
        <v>63</v>
      </c>
      <c r="F1" s="1" t="s">
        <v>63</v>
      </c>
      <c r="G1" s="1" t="s">
        <v>63</v>
      </c>
      <c r="H1" s="1" t="s">
        <v>63</v>
      </c>
    </row>
    <row r="2" customFormat="false" ht="28" hidden="false" customHeight="true" outlineLevel="0" collapsed="false">
      <c r="A2" s="2" t="s">
        <v>64</v>
      </c>
      <c r="B2" s="2" t="s">
        <v>64</v>
      </c>
      <c r="C2" s="2" t="s">
        <v>64</v>
      </c>
      <c r="D2" s="2" t="s">
        <v>64</v>
      </c>
      <c r="E2" s="2" t="s">
        <v>64</v>
      </c>
      <c r="F2" s="2" t="s">
        <v>64</v>
      </c>
      <c r="G2" s="2" t="s">
        <v>64</v>
      </c>
      <c r="H2" s="2" t="s">
        <v>64</v>
      </c>
    </row>
    <row r="4" customFormat="false" ht="24" hidden="false" customHeight="true" outlineLevel="0" collapsed="false">
      <c r="A4" s="7" t="s">
        <v>65</v>
      </c>
      <c r="B4" s="7" t="s">
        <v>65</v>
      </c>
      <c r="C4" s="7" t="s">
        <v>65</v>
      </c>
      <c r="D4" s="7" t="s">
        <v>65</v>
      </c>
      <c r="E4" s="7" t="s">
        <v>66</v>
      </c>
      <c r="F4" s="7" t="s">
        <v>66</v>
      </c>
      <c r="G4" s="7" t="s">
        <v>66</v>
      </c>
      <c r="H4" s="7" t="s">
        <v>66</v>
      </c>
    </row>
    <row r="5" customFormat="false" ht="15" hidden="false" customHeight="true" outlineLevel="0" collapsed="false">
      <c r="A5" s="26" t="s">
        <v>67</v>
      </c>
      <c r="B5" s="26"/>
      <c r="C5" s="27" t="n">
        <v>46255</v>
      </c>
      <c r="D5" s="27"/>
      <c r="E5" s="26" t="s">
        <v>68</v>
      </c>
      <c r="F5" s="26"/>
      <c r="G5" s="28" t="n">
        <f aca="false">C8+C9</f>
        <v>1380</v>
      </c>
      <c r="H5" s="28"/>
    </row>
    <row r="6" customFormat="false" ht="15" hidden="false" customHeight="true" outlineLevel="0" collapsed="false">
      <c r="A6" s="26" t="s">
        <v>69</v>
      </c>
      <c r="B6" s="26"/>
      <c r="C6" s="16" t="s">
        <v>55</v>
      </c>
      <c r="D6" s="16"/>
      <c r="E6" s="26" t="s">
        <v>70</v>
      </c>
      <c r="F6" s="26"/>
      <c r="G6" s="29" t="n">
        <f aca="false">IFERROR(C9/G5,0)</f>
        <v>0.130434782608696</v>
      </c>
      <c r="H6" s="29"/>
    </row>
    <row r="7" customFormat="false" ht="15" hidden="false" customHeight="true" outlineLevel="0" collapsed="false">
      <c r="A7" s="26" t="s">
        <v>71</v>
      </c>
      <c r="B7" s="26"/>
      <c r="C7" s="16" t="s">
        <v>72</v>
      </c>
      <c r="D7" s="16"/>
      <c r="E7" s="26" t="s">
        <v>73</v>
      </c>
      <c r="F7" s="26"/>
      <c r="G7" s="30" t="n">
        <f aca="false">IFERROR(G5*C11/100,0)</f>
        <v>379.5</v>
      </c>
      <c r="H7" s="30"/>
    </row>
    <row r="8" customFormat="false" ht="15" hidden="false" customHeight="true" outlineLevel="0" collapsed="false">
      <c r="A8" s="26" t="s">
        <v>74</v>
      </c>
      <c r="B8" s="26"/>
      <c r="C8" s="31" t="n">
        <v>1200</v>
      </c>
      <c r="D8" s="31"/>
      <c r="E8" s="26" t="s">
        <v>75</v>
      </c>
      <c r="F8" s="26"/>
      <c r="G8" s="32" t="n">
        <f aca="false">G7*C12</f>
        <v>588.225</v>
      </c>
      <c r="H8" s="32"/>
    </row>
    <row r="9" customFormat="false" ht="15" hidden="false" customHeight="true" outlineLevel="0" collapsed="false">
      <c r="A9" s="26" t="s">
        <v>76</v>
      </c>
      <c r="B9" s="26"/>
      <c r="C9" s="31" t="n">
        <v>180</v>
      </c>
      <c r="D9" s="31"/>
      <c r="E9" s="26" t="s">
        <v>77</v>
      </c>
      <c r="F9" s="26"/>
      <c r="G9" s="32" t="n">
        <f aca="false">G5*C18</f>
        <v>165.6</v>
      </c>
      <c r="H9" s="32"/>
    </row>
    <row r="10" customFormat="false" ht="15" hidden="false" customHeight="true" outlineLevel="0" collapsed="false">
      <c r="A10" s="26" t="s">
        <v>78</v>
      </c>
      <c r="B10" s="26"/>
      <c r="C10" s="33" t="n">
        <v>2200</v>
      </c>
      <c r="D10" s="33"/>
      <c r="E10" s="26" t="s">
        <v>79</v>
      </c>
      <c r="F10" s="26"/>
      <c r="G10" s="32" t="n">
        <f aca="false">G5*C19</f>
        <v>262.2</v>
      </c>
      <c r="H10" s="32"/>
    </row>
    <row r="11" customFormat="false" ht="15" hidden="false" customHeight="true" outlineLevel="0" collapsed="false">
      <c r="A11" s="26" t="s">
        <v>80</v>
      </c>
      <c r="B11" s="26"/>
      <c r="C11" s="34" t="n">
        <v>27.5</v>
      </c>
      <c r="D11" s="34"/>
      <c r="E11" s="26" t="s">
        <v>81</v>
      </c>
      <c r="F11" s="26"/>
      <c r="G11" s="32" t="n">
        <f aca="false">SUM(G8:G10)+C13+C14+C15+C16+C17+C20</f>
        <v>1588.025</v>
      </c>
      <c r="H11" s="32"/>
    </row>
    <row r="12" customFormat="false" ht="15" hidden="false" customHeight="true" outlineLevel="0" collapsed="false">
      <c r="A12" s="26" t="s">
        <v>82</v>
      </c>
      <c r="B12" s="26"/>
      <c r="C12" s="18" t="n">
        <v>1.55</v>
      </c>
      <c r="D12" s="18"/>
      <c r="E12" s="26" t="s">
        <v>83</v>
      </c>
      <c r="F12" s="26"/>
      <c r="G12" s="32" t="n">
        <f aca="false">IFERROR(G11/G5,0)</f>
        <v>1.15074275362319</v>
      </c>
      <c r="H12" s="32"/>
    </row>
    <row r="13" customFormat="false" ht="15" hidden="false" customHeight="true" outlineLevel="0" collapsed="false">
      <c r="A13" s="26" t="s">
        <v>84</v>
      </c>
      <c r="B13" s="26"/>
      <c r="C13" s="18" t="n">
        <v>210</v>
      </c>
      <c r="D13" s="18"/>
      <c r="E13" s="26" t="s">
        <v>85</v>
      </c>
      <c r="F13" s="26"/>
      <c r="G13" s="32" t="n">
        <f aca="false">IFERROR(C10/G5,0)</f>
        <v>1.59420289855072</v>
      </c>
      <c r="H13" s="32"/>
    </row>
    <row r="14" customFormat="false" ht="15" hidden="false" customHeight="true" outlineLevel="0" collapsed="false">
      <c r="A14" s="26" t="s">
        <v>86</v>
      </c>
      <c r="B14" s="26"/>
      <c r="C14" s="18" t="n">
        <v>0</v>
      </c>
      <c r="D14" s="18"/>
      <c r="E14" s="26" t="s">
        <v>87</v>
      </c>
      <c r="F14" s="26"/>
      <c r="G14" s="32" t="n">
        <f aca="false">C10-G11</f>
        <v>611.975</v>
      </c>
      <c r="H14" s="32"/>
    </row>
    <row r="15" customFormat="false" ht="15" hidden="false" customHeight="true" outlineLevel="0" collapsed="false">
      <c r="A15" s="26" t="s">
        <v>88</v>
      </c>
      <c r="B15" s="26"/>
      <c r="C15" s="18" t="n">
        <v>35</v>
      </c>
      <c r="D15" s="18"/>
      <c r="E15" s="26" t="s">
        <v>89</v>
      </c>
      <c r="F15" s="26"/>
      <c r="G15" s="29" t="n">
        <f aca="false">IFERROR(G14/C10,0)</f>
        <v>0.278170454545455</v>
      </c>
      <c r="H15" s="29"/>
    </row>
    <row r="16" customFormat="false" ht="15" hidden="false" customHeight="true" outlineLevel="0" collapsed="false">
      <c r="A16" s="26" t="s">
        <v>90</v>
      </c>
      <c r="B16" s="26"/>
      <c r="C16" s="18" t="n">
        <v>22</v>
      </c>
      <c r="D16" s="18"/>
      <c r="E16" s="26" t="s">
        <v>91</v>
      </c>
      <c r="F16" s="26"/>
      <c r="G16" s="32" t="n">
        <f aca="false">IFERROR(G11/(1-C21),0)</f>
        <v>1868.26470588235</v>
      </c>
      <c r="H16" s="32"/>
    </row>
    <row r="17" customFormat="false" ht="16.15" hidden="false" customHeight="true" outlineLevel="0" collapsed="false">
      <c r="A17" s="26" t="s">
        <v>92</v>
      </c>
      <c r="B17" s="26"/>
      <c r="C17" s="18" t="n">
        <v>260</v>
      </c>
      <c r="D17" s="18"/>
      <c r="E17" s="26" t="s">
        <v>66</v>
      </c>
      <c r="F17" s="26"/>
      <c r="G17" s="35" t="str">
        <f aca="false">IF(G14&lt;0,"LOSS",IF(G15&lt;C21,"THIN","GOOD"))</f>
        <v>GOOD</v>
      </c>
      <c r="H17" s="35"/>
    </row>
    <row r="18" customFormat="false" ht="15" hidden="false" customHeight="true" outlineLevel="0" collapsed="false">
      <c r="A18" s="26" t="s">
        <v>93</v>
      </c>
      <c r="B18" s="26"/>
      <c r="C18" s="18" t="n">
        <v>0.12</v>
      </c>
      <c r="D18" s="18"/>
    </row>
    <row r="19" customFormat="false" ht="15" hidden="false" customHeight="true" outlineLevel="0" collapsed="false">
      <c r="A19" s="26" t="s">
        <v>94</v>
      </c>
      <c r="B19" s="26"/>
      <c r="C19" s="18" t="n">
        <v>0.19</v>
      </c>
      <c r="D19" s="18"/>
    </row>
    <row r="20" customFormat="false" ht="15" hidden="false" customHeight="true" outlineLevel="0" collapsed="false">
      <c r="A20" s="26" t="s">
        <v>95</v>
      </c>
      <c r="B20" s="26"/>
      <c r="C20" s="18" t="n">
        <v>45</v>
      </c>
      <c r="D20" s="18"/>
    </row>
    <row r="21" customFormat="false" ht="15" hidden="false" customHeight="true" outlineLevel="0" collapsed="false">
      <c r="A21" s="26" t="s">
        <v>96</v>
      </c>
      <c r="B21" s="26"/>
      <c r="C21" s="17" t="n">
        <v>0.15</v>
      </c>
      <c r="D21" s="17"/>
    </row>
    <row r="24" customFormat="false" ht="15" hidden="false" customHeight="true" outlineLevel="0" collapsed="false">
      <c r="A24" s="36" t="s">
        <v>97</v>
      </c>
      <c r="B24" s="36"/>
      <c r="C24" s="36"/>
      <c r="D24" s="36"/>
      <c r="E24" s="36"/>
      <c r="F24" s="36"/>
      <c r="G24" s="36"/>
      <c r="H24" s="36"/>
    </row>
    <row r="25" customFormat="false" ht="15" hidden="false" customHeight="false" outlineLevel="0" collapsed="false">
      <c r="A25" s="36"/>
      <c r="B25" s="36"/>
      <c r="C25" s="36"/>
      <c r="D25" s="36"/>
      <c r="E25" s="36"/>
      <c r="F25" s="36"/>
      <c r="G25" s="36"/>
      <c r="H25" s="36"/>
    </row>
  </sheetData>
  <mergeCells count="65">
    <mergeCell ref="A1:H1"/>
    <mergeCell ref="A2:H2"/>
    <mergeCell ref="A4:D4"/>
    <mergeCell ref="E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B18"/>
    <mergeCell ref="C18:D18"/>
    <mergeCell ref="A19:B19"/>
    <mergeCell ref="C19:D19"/>
    <mergeCell ref="A20:B20"/>
    <mergeCell ref="C20:D20"/>
    <mergeCell ref="A21:B21"/>
    <mergeCell ref="C21:D21"/>
    <mergeCell ref="A24:H25"/>
  </mergeCells>
  <conditionalFormatting sqref="G17:H17">
    <cfRule type="containsText" priority="2" operator="containsText" aboveAverage="0" equalAverage="0" bottom="0" percent="0" rank="0" text="LOSS" dxfId="0">
      <formula>NOT(ISERROR(SEARCH("LOSS",G17)))</formula>
    </cfRule>
    <cfRule type="containsText" priority="3" operator="containsText" aboveAverage="0" equalAverage="0" bottom="0" percent="0" rank="0" text="THIN" dxfId="1">
      <formula>NOT(ISERROR(SEARCH("THIN",G17)))</formula>
    </cfRule>
  </conditionalFormatting>
  <dataValidations count="1">
    <dataValidation allowBlank="false" errorStyle="stop" operator="between" showDropDown="false" showErrorMessage="false" showInputMessage="false" sqref="C6:D6" type="list">
      <formula1>'FLEET &amp; SETTINGS'!$A$14:$A$16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15"/>
    <col collapsed="false" customWidth="true" hidden="false" outlineLevel="0" max="4" min="4" style="0" width="26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8" min="8" style="0" width="13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10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0"/>
    <col collapsed="false" customWidth="true" hidden="false" outlineLevel="0" max="21" min="17" style="0" width="12"/>
    <col collapsed="false" customWidth="true" hidden="false" outlineLevel="0" max="22" min="22" style="0" width="11"/>
    <col collapsed="false" customWidth="true" hidden="false" outlineLevel="0" max="23" min="23" style="0" width="14"/>
    <col collapsed="false" customWidth="true" hidden="false" outlineLevel="0" max="24" min="24" style="0" width="12"/>
    <col collapsed="false" customWidth="true" hidden="false" outlineLevel="0" max="25" min="25" style="0" width="13"/>
    <col collapsed="false" customWidth="true" hidden="false" outlineLevel="0" max="26" min="26" style="0" width="10"/>
    <col collapsed="false" customWidth="true" hidden="false" outlineLevel="0" max="27" min="27" style="0" width="13"/>
    <col collapsed="false" customWidth="true" hidden="false" outlineLevel="0" max="28" min="28" style="0" width="11"/>
  </cols>
  <sheetData>
    <row r="1" customFormat="false" ht="38" hidden="false" customHeight="true" outlineLevel="0" collapsed="false">
      <c r="A1" s="1" t="s">
        <v>98</v>
      </c>
      <c r="B1" s="1" t="s">
        <v>98</v>
      </c>
      <c r="C1" s="1" t="s">
        <v>98</v>
      </c>
      <c r="D1" s="1" t="s">
        <v>98</v>
      </c>
      <c r="E1" s="1" t="s">
        <v>98</v>
      </c>
      <c r="F1" s="1" t="s">
        <v>98</v>
      </c>
      <c r="G1" s="1" t="s">
        <v>98</v>
      </c>
      <c r="H1" s="1" t="s">
        <v>98</v>
      </c>
      <c r="I1" s="1" t="s">
        <v>98</v>
      </c>
      <c r="J1" s="1" t="s">
        <v>98</v>
      </c>
      <c r="K1" s="1" t="s">
        <v>98</v>
      </c>
      <c r="L1" s="1" t="s">
        <v>98</v>
      </c>
      <c r="M1" s="1" t="s">
        <v>98</v>
      </c>
      <c r="N1" s="1" t="s">
        <v>98</v>
      </c>
      <c r="O1" s="1" t="s">
        <v>98</v>
      </c>
      <c r="P1" s="1" t="s">
        <v>98</v>
      </c>
      <c r="Q1" s="1" t="s">
        <v>98</v>
      </c>
      <c r="R1" s="1" t="s">
        <v>98</v>
      </c>
      <c r="S1" s="1" t="s">
        <v>98</v>
      </c>
      <c r="T1" s="1" t="s">
        <v>98</v>
      </c>
      <c r="U1" s="1" t="s">
        <v>98</v>
      </c>
      <c r="V1" s="1" t="s">
        <v>98</v>
      </c>
      <c r="W1" s="1" t="s">
        <v>98</v>
      </c>
      <c r="X1" s="1" t="s">
        <v>98</v>
      </c>
      <c r="Y1" s="1" t="s">
        <v>98</v>
      </c>
      <c r="Z1" s="1" t="s">
        <v>98</v>
      </c>
      <c r="AA1" s="1" t="s">
        <v>98</v>
      </c>
      <c r="AB1" s="1" t="s">
        <v>98</v>
      </c>
    </row>
    <row r="2" customFormat="false" ht="28" hidden="false" customHeight="true" outlineLevel="0" collapsed="false">
      <c r="A2" s="2" t="s">
        <v>99</v>
      </c>
      <c r="B2" s="2" t="s">
        <v>99</v>
      </c>
      <c r="C2" s="2" t="s">
        <v>99</v>
      </c>
      <c r="D2" s="2" t="s">
        <v>99</v>
      </c>
      <c r="E2" s="2" t="s">
        <v>99</v>
      </c>
      <c r="F2" s="2" t="s">
        <v>99</v>
      </c>
      <c r="G2" s="2" t="s">
        <v>99</v>
      </c>
      <c r="H2" s="2" t="s">
        <v>99</v>
      </c>
      <c r="I2" s="2" t="s">
        <v>99</v>
      </c>
      <c r="J2" s="2" t="s">
        <v>99</v>
      </c>
      <c r="K2" s="2" t="s">
        <v>99</v>
      </c>
      <c r="L2" s="2" t="s">
        <v>99</v>
      </c>
      <c r="M2" s="2" t="s">
        <v>99</v>
      </c>
      <c r="N2" s="2" t="s">
        <v>99</v>
      </c>
      <c r="O2" s="2" t="s">
        <v>99</v>
      </c>
      <c r="P2" s="2" t="s">
        <v>99</v>
      </c>
      <c r="Q2" s="2" t="s">
        <v>99</v>
      </c>
      <c r="R2" s="2" t="s">
        <v>99</v>
      </c>
      <c r="S2" s="2" t="s">
        <v>99</v>
      </c>
      <c r="T2" s="2" t="s">
        <v>99</v>
      </c>
      <c r="U2" s="2" t="s">
        <v>99</v>
      </c>
      <c r="V2" s="2" t="s">
        <v>99</v>
      </c>
      <c r="W2" s="2" t="s">
        <v>99</v>
      </c>
      <c r="X2" s="2" t="s">
        <v>99</v>
      </c>
      <c r="Y2" s="2" t="s">
        <v>99</v>
      </c>
      <c r="Z2" s="2" t="s">
        <v>99</v>
      </c>
      <c r="AA2" s="2" t="s">
        <v>99</v>
      </c>
      <c r="AB2" s="2" t="s">
        <v>99</v>
      </c>
    </row>
    <row r="4" customFormat="false" ht="46" hidden="false" customHeight="true" outlineLevel="0" collapsed="false">
      <c r="A4" s="19" t="s">
        <v>67</v>
      </c>
      <c r="B4" s="19" t="s">
        <v>100</v>
      </c>
      <c r="C4" s="19" t="s">
        <v>69</v>
      </c>
      <c r="D4" s="19" t="s">
        <v>71</v>
      </c>
      <c r="E4" s="19" t="s">
        <v>74</v>
      </c>
      <c r="F4" s="19" t="s">
        <v>76</v>
      </c>
      <c r="G4" s="19" t="s">
        <v>101</v>
      </c>
      <c r="H4" s="19" t="s">
        <v>102</v>
      </c>
      <c r="I4" s="19" t="s">
        <v>103</v>
      </c>
      <c r="J4" s="19" t="s">
        <v>104</v>
      </c>
      <c r="K4" s="19" t="s">
        <v>105</v>
      </c>
      <c r="L4" s="19" t="s">
        <v>106</v>
      </c>
      <c r="M4" s="19" t="s">
        <v>107</v>
      </c>
      <c r="N4" s="19" t="s">
        <v>108</v>
      </c>
      <c r="O4" s="19" t="s">
        <v>109</v>
      </c>
      <c r="P4" s="19" t="s">
        <v>110</v>
      </c>
      <c r="Q4" s="19" t="s">
        <v>111</v>
      </c>
      <c r="R4" s="19" t="s">
        <v>112</v>
      </c>
      <c r="S4" s="19" t="s">
        <v>113</v>
      </c>
      <c r="T4" s="19" t="s">
        <v>114</v>
      </c>
      <c r="U4" s="19" t="s">
        <v>115</v>
      </c>
      <c r="V4" s="19" t="s">
        <v>116</v>
      </c>
      <c r="W4" s="19" t="s">
        <v>117</v>
      </c>
      <c r="X4" s="19" t="s">
        <v>118</v>
      </c>
      <c r="Y4" s="19" t="s">
        <v>119</v>
      </c>
      <c r="Z4" s="19" t="s">
        <v>120</v>
      </c>
      <c r="AA4" s="19" t="s">
        <v>121</v>
      </c>
      <c r="AB4" s="19" t="s">
        <v>122</v>
      </c>
    </row>
    <row r="5" customFormat="false" ht="15" hidden="false" customHeight="false" outlineLevel="0" collapsed="false">
      <c r="A5" s="37" t="n">
        <v>46176</v>
      </c>
      <c r="B5" s="38" t="str">
        <f aca="false">IF(A5="","",TEXT(A5,"yyyy-mm"))</f>
        <v>2026-06</v>
      </c>
      <c r="C5" s="20" t="s">
        <v>55</v>
      </c>
      <c r="D5" s="20" t="s">
        <v>72</v>
      </c>
      <c r="E5" s="21" t="n">
        <v>1200</v>
      </c>
      <c r="F5" s="21" t="n">
        <v>160</v>
      </c>
      <c r="G5" s="39" t="n">
        <f aca="false">IF(A5="","",E5+F5)</f>
        <v>1360</v>
      </c>
      <c r="H5" s="40" t="n">
        <v>2180</v>
      </c>
      <c r="I5" s="22" t="n">
        <v>27.4</v>
      </c>
      <c r="J5" s="23" t="n">
        <v>1.54</v>
      </c>
      <c r="K5" s="41" t="n">
        <f aca="false">IF(A5="","",G5*I5/100)</f>
        <v>372.64</v>
      </c>
      <c r="L5" s="42" t="n">
        <f aca="false">IF(A5="","",K5*J5)</f>
        <v>573.8656</v>
      </c>
      <c r="M5" s="40" t="n">
        <v>205</v>
      </c>
      <c r="N5" s="40" t="n">
        <v>0</v>
      </c>
      <c r="O5" s="40" t="n">
        <v>32</v>
      </c>
      <c r="P5" s="40" t="n">
        <v>20</v>
      </c>
      <c r="Q5" s="40" t="n">
        <v>255</v>
      </c>
      <c r="R5" s="40" t="n">
        <v>0.12</v>
      </c>
      <c r="S5" s="42" t="n">
        <f aca="false">IF(A5="","",G5*R5)</f>
        <v>163.2</v>
      </c>
      <c r="T5" s="42" t="n">
        <f aca="false">IF(A5="","",SUMIF('FLEET &amp; SETTINGS'!$A$14:$A$16,C5,'FLEET &amp; SETTINGS'!$I$14:$I$16))</f>
        <v>0.190909090909091</v>
      </c>
      <c r="U5" s="42" t="n">
        <f aca="false">IF(A5="","",G5*T5)</f>
        <v>259.636363636364</v>
      </c>
      <c r="V5" s="40" t="n">
        <v>35</v>
      </c>
      <c r="W5" s="42" t="n">
        <f aca="false">IF(A5="","",SUM(L5:S5)+U5+V5)</f>
        <v>1543.82196363636</v>
      </c>
      <c r="X5" s="42" t="n">
        <f aca="false">IFERROR(W5/G5,0)</f>
        <v>1.13516320855615</v>
      </c>
      <c r="Y5" s="42" t="n">
        <f aca="false">IF(A5="","",H5-W5)</f>
        <v>636.178036363636</v>
      </c>
      <c r="Z5" s="43" t="n">
        <f aca="false">IFERROR(Y5/H5,0)</f>
        <v>0.291824787322769</v>
      </c>
      <c r="AA5" s="24" t="n">
        <f aca="false">IFERROR(H5/G5,0)</f>
        <v>1.60294117647059</v>
      </c>
      <c r="AB5" s="38" t="str">
        <f aca="false">IF(A5="","",IF(Y5&lt;0,"LOSS",IF(Z5&lt;'FLEET &amp; SETTINGS'!$B$7,"THIN","GOOD")))</f>
        <v>GOOD</v>
      </c>
    </row>
    <row r="6" customFormat="false" ht="15" hidden="false" customHeight="false" outlineLevel="0" collapsed="false">
      <c r="A6" s="37" t="n">
        <v>46183</v>
      </c>
      <c r="B6" s="38" t="str">
        <f aca="false">IF(A6="","",TEXT(A6,"yyyy-mm"))</f>
        <v>2026-06</v>
      </c>
      <c r="C6" s="20" t="s">
        <v>58</v>
      </c>
      <c r="D6" s="20" t="s">
        <v>123</v>
      </c>
      <c r="E6" s="21" t="n">
        <v>820</v>
      </c>
      <c r="F6" s="21" t="n">
        <v>90</v>
      </c>
      <c r="G6" s="39" t="n">
        <f aca="false">IF(A6="","",E6+F6)</f>
        <v>910</v>
      </c>
      <c r="H6" s="40" t="n">
        <v>1420</v>
      </c>
      <c r="I6" s="22" t="n">
        <v>26.8</v>
      </c>
      <c r="J6" s="23" t="n">
        <v>1.52</v>
      </c>
      <c r="K6" s="41" t="n">
        <f aca="false">IF(A6="","",G6*I6/100)</f>
        <v>243.88</v>
      </c>
      <c r="L6" s="42" t="n">
        <f aca="false">IF(A6="","",K6*J6)</f>
        <v>370.6976</v>
      </c>
      <c r="M6" s="40" t="n">
        <v>105</v>
      </c>
      <c r="N6" s="40" t="n">
        <v>0</v>
      </c>
      <c r="O6" s="40" t="n">
        <v>18</v>
      </c>
      <c r="P6" s="40" t="n">
        <v>16</v>
      </c>
      <c r="Q6" s="40" t="n">
        <v>190</v>
      </c>
      <c r="R6" s="40" t="n">
        <v>0.12</v>
      </c>
      <c r="S6" s="42" t="n">
        <f aca="false">IF(A6="","",G6*R6)</f>
        <v>109.2</v>
      </c>
      <c r="T6" s="42" t="n">
        <f aca="false">IF(A6="","",SUMIF('FLEET &amp; SETTINGS'!$A$14:$A$16,C6,'FLEET &amp; SETTINGS'!$I$14:$I$16))</f>
        <v>0.204761904761905</v>
      </c>
      <c r="U6" s="42" t="n">
        <f aca="false">IF(A6="","",G6*T6)</f>
        <v>186.333333333333</v>
      </c>
      <c r="V6" s="40" t="n">
        <v>25</v>
      </c>
      <c r="W6" s="42" t="n">
        <f aca="false">IF(A6="","",SUM(L6:S6)+U6+V6)</f>
        <v>1020.35093333333</v>
      </c>
      <c r="X6" s="42" t="n">
        <f aca="false">IFERROR(W6/G6,0)</f>
        <v>1.12126476190476</v>
      </c>
      <c r="Y6" s="42" t="n">
        <f aca="false">IF(A6="","",H6-W6)</f>
        <v>399.649066666667</v>
      </c>
      <c r="Z6" s="43" t="n">
        <f aca="false">IFERROR(Y6/H6,0)</f>
        <v>0.281443004694836</v>
      </c>
      <c r="AA6" s="24" t="n">
        <f aca="false">IFERROR(H6/G6,0)</f>
        <v>1.56043956043956</v>
      </c>
      <c r="AB6" s="38" t="str">
        <f aca="false">IF(A6="","",IF(Y6&lt;0,"LOSS",IF(Z6&lt;'FLEET &amp; SETTINGS'!$B$7,"THIN","GOOD")))</f>
        <v>GOOD</v>
      </c>
    </row>
    <row r="7" customFormat="false" ht="15" hidden="false" customHeight="false" outlineLevel="0" collapsed="false">
      <c r="A7" s="37" t="n">
        <v>46214</v>
      </c>
      <c r="B7" s="38" t="str">
        <f aca="false">IF(A7="","",TEXT(A7,"yyyy-mm"))</f>
        <v>2026-07</v>
      </c>
      <c r="C7" s="20" t="s">
        <v>60</v>
      </c>
      <c r="D7" s="20" t="s">
        <v>124</v>
      </c>
      <c r="E7" s="21" t="n">
        <v>1450</v>
      </c>
      <c r="F7" s="21" t="n">
        <v>190</v>
      </c>
      <c r="G7" s="39" t="n">
        <f aca="false">IF(A7="","",E7+F7)</f>
        <v>1640</v>
      </c>
      <c r="H7" s="40" t="n">
        <v>2540</v>
      </c>
      <c r="I7" s="22" t="n">
        <v>28</v>
      </c>
      <c r="J7" s="23" t="n">
        <v>1.58</v>
      </c>
      <c r="K7" s="41" t="n">
        <f aca="false">IF(A7="","",G7*I7/100)</f>
        <v>459.2</v>
      </c>
      <c r="L7" s="42" t="n">
        <f aca="false">IF(A7="","",K7*J7)</f>
        <v>725.536</v>
      </c>
      <c r="M7" s="40" t="n">
        <v>270</v>
      </c>
      <c r="N7" s="40" t="n">
        <v>0</v>
      </c>
      <c r="O7" s="40" t="n">
        <v>39</v>
      </c>
      <c r="P7" s="40" t="n">
        <v>24</v>
      </c>
      <c r="Q7" s="40" t="n">
        <v>295</v>
      </c>
      <c r="R7" s="40" t="n">
        <v>0.13</v>
      </c>
      <c r="S7" s="42" t="n">
        <f aca="false">IF(A7="","",G7*R7)</f>
        <v>213.2</v>
      </c>
      <c r="T7" s="42" t="n">
        <f aca="false">IF(A7="","",SUMIF('FLEET &amp; SETTINGS'!$A$14:$A$16,C7,'FLEET &amp; SETTINGS'!$I$14:$I$16))</f>
        <v>0.185185185185185</v>
      </c>
      <c r="U7" s="42" t="n">
        <f aca="false">IF(A7="","",G7*T7)</f>
        <v>303.703703703704</v>
      </c>
      <c r="V7" s="40" t="n">
        <v>55</v>
      </c>
      <c r="W7" s="42" t="n">
        <f aca="false">IF(A7="","",SUM(L7:S7)+U7+V7)</f>
        <v>1925.5697037037</v>
      </c>
      <c r="X7" s="42" t="n">
        <f aca="false">IFERROR(W7/G7,0)</f>
        <v>1.17412786811201</v>
      </c>
      <c r="Y7" s="42" t="n">
        <f aca="false">IF(A7="","",H7-W7)</f>
        <v>614.430296296296</v>
      </c>
      <c r="Z7" s="43" t="n">
        <f aca="false">IFERROR(Y7/H7,0)</f>
        <v>0.241901691455235</v>
      </c>
      <c r="AA7" s="24" t="n">
        <f aca="false">IFERROR(H7/G7,0)</f>
        <v>1.54878048780488</v>
      </c>
      <c r="AB7" s="38" t="str">
        <f aca="false">IF(A7="","",IF(Y7&lt;0,"LOSS",IF(Z7&lt;'FLEET &amp; SETTINGS'!$B$7,"THIN","GOOD")))</f>
        <v>GOOD</v>
      </c>
    </row>
    <row r="8" customFormat="false" ht="15" hidden="false" customHeight="false" outlineLevel="0" collapsed="false">
      <c r="A8" s="37" t="n">
        <v>46243</v>
      </c>
      <c r="B8" s="38" t="str">
        <f aca="false">IF(A8="","",TEXT(A8,"yyyy-mm"))</f>
        <v>2026-08</v>
      </c>
      <c r="C8" s="20" t="s">
        <v>55</v>
      </c>
      <c r="D8" s="20" t="s">
        <v>72</v>
      </c>
      <c r="E8" s="21" t="n">
        <v>1200</v>
      </c>
      <c r="F8" s="21" t="n">
        <v>180</v>
      </c>
      <c r="G8" s="39" t="n">
        <f aca="false">IF(A8="","",E8+F8)</f>
        <v>1380</v>
      </c>
      <c r="H8" s="40" t="n">
        <v>2200</v>
      </c>
      <c r="I8" s="22" t="n">
        <v>27.5</v>
      </c>
      <c r="J8" s="23" t="n">
        <v>1.55</v>
      </c>
      <c r="K8" s="41" t="n">
        <f aca="false">IF(A8="","",G8*I8/100)</f>
        <v>379.5</v>
      </c>
      <c r="L8" s="42" t="n">
        <f aca="false">IF(A8="","",K8*J8)</f>
        <v>588.225</v>
      </c>
      <c r="M8" s="40" t="n">
        <v>210</v>
      </c>
      <c r="N8" s="40" t="n">
        <v>0</v>
      </c>
      <c r="O8" s="40" t="n">
        <v>35</v>
      </c>
      <c r="P8" s="40" t="n">
        <v>22</v>
      </c>
      <c r="Q8" s="40" t="n">
        <v>260</v>
      </c>
      <c r="R8" s="40" t="n">
        <v>0.12</v>
      </c>
      <c r="S8" s="42" t="n">
        <f aca="false">IF(A8="","",G8*R8)</f>
        <v>165.6</v>
      </c>
      <c r="T8" s="42" t="n">
        <f aca="false">IF(A8="","",SUMIF('FLEET &amp; SETTINGS'!$A$14:$A$16,C8,'FLEET &amp; SETTINGS'!$I$14:$I$16))</f>
        <v>0.190909090909091</v>
      </c>
      <c r="U8" s="42" t="n">
        <f aca="false">IF(A8="","",G8*T8)</f>
        <v>263.454545454545</v>
      </c>
      <c r="V8" s="40" t="n">
        <v>45</v>
      </c>
      <c r="W8" s="42" t="n">
        <f aca="false">IF(A8="","",SUM(L8:S8)+U8+V8)</f>
        <v>1589.39954545455</v>
      </c>
      <c r="X8" s="42" t="n">
        <f aca="false">IFERROR(W8/G8,0)</f>
        <v>1.15173880105402</v>
      </c>
      <c r="Y8" s="42" t="n">
        <f aca="false">IF(A8="","",H8-W8)</f>
        <v>610.600454545455</v>
      </c>
      <c r="Z8" s="43" t="n">
        <f aca="false">IFERROR(Y8/H8,0)</f>
        <v>0.277545661157025</v>
      </c>
      <c r="AA8" s="24" t="n">
        <f aca="false">IFERROR(H8/G8,0)</f>
        <v>1.59420289855072</v>
      </c>
      <c r="AB8" s="38" t="str">
        <f aca="false">IF(A8="","",IF(Y8&lt;0,"LOSS",IF(Z8&lt;'FLEET &amp; SETTINGS'!$B$7,"THIN","GOOD")))</f>
        <v>GOOD</v>
      </c>
    </row>
    <row r="9" customFormat="false" ht="15" hidden="false" customHeight="false" outlineLevel="0" collapsed="false">
      <c r="A9" s="37" t="n">
        <v>46248</v>
      </c>
      <c r="B9" s="38" t="str">
        <f aca="false">IF(A9="","",TEXT(A9,"yyyy-mm"))</f>
        <v>2026-08</v>
      </c>
      <c r="C9" s="20" t="s">
        <v>58</v>
      </c>
      <c r="D9" s="20" t="s">
        <v>125</v>
      </c>
      <c r="E9" s="21" t="n">
        <v>560</v>
      </c>
      <c r="F9" s="21" t="n">
        <v>70</v>
      </c>
      <c r="G9" s="39" t="n">
        <f aca="false">IF(A9="","",E9+F9)</f>
        <v>630</v>
      </c>
      <c r="H9" s="40" t="n">
        <v>1010</v>
      </c>
      <c r="I9" s="22" t="n">
        <v>26.7</v>
      </c>
      <c r="J9" s="23" t="n">
        <v>1.54</v>
      </c>
      <c r="K9" s="41" t="n">
        <f aca="false">IF(A9="","",G9*I9/100)</f>
        <v>168.21</v>
      </c>
      <c r="L9" s="42" t="n">
        <f aca="false">IF(A9="","",K9*J9)</f>
        <v>259.0434</v>
      </c>
      <c r="M9" s="40" t="n">
        <v>65</v>
      </c>
      <c r="N9" s="40" t="n">
        <v>0</v>
      </c>
      <c r="O9" s="40" t="n">
        <v>12</v>
      </c>
      <c r="P9" s="40" t="n">
        <v>11</v>
      </c>
      <c r="Q9" s="40" t="n">
        <v>145</v>
      </c>
      <c r="R9" s="40" t="n">
        <v>0.12</v>
      </c>
      <c r="S9" s="42" t="n">
        <f aca="false">IF(A9="","",G9*R9)</f>
        <v>75.6</v>
      </c>
      <c r="T9" s="42" t="n">
        <f aca="false">IF(A9="","",SUMIF('FLEET &amp; SETTINGS'!$A$14:$A$16,C9,'FLEET &amp; SETTINGS'!$I$14:$I$16))</f>
        <v>0.204761904761905</v>
      </c>
      <c r="U9" s="42" t="n">
        <f aca="false">IF(A9="","",G9*T9)</f>
        <v>129</v>
      </c>
      <c r="V9" s="40" t="n">
        <v>18</v>
      </c>
      <c r="W9" s="42" t="n">
        <f aca="false">IF(A9="","",SUM(L9:S9)+U9+V9)</f>
        <v>714.7634</v>
      </c>
      <c r="X9" s="42" t="n">
        <f aca="false">IFERROR(W9/G9,0)</f>
        <v>1.13454507936508</v>
      </c>
      <c r="Y9" s="42" t="n">
        <f aca="false">IF(A9="","",H9-W9)</f>
        <v>295.2366</v>
      </c>
      <c r="Z9" s="43" t="n">
        <f aca="false">IFERROR(Y9/H9,0)</f>
        <v>0.292313465346535</v>
      </c>
      <c r="AA9" s="24" t="n">
        <f aca="false">IFERROR(H9/G9,0)</f>
        <v>1.6031746031746</v>
      </c>
      <c r="AB9" s="38" t="str">
        <f aca="false">IF(A9="","",IF(Y9&lt;0,"LOSS",IF(Z9&lt;'FLEET &amp; SETTINGS'!$B$7,"THIN","GOOD")))</f>
        <v>GOOD</v>
      </c>
    </row>
  </sheetData>
  <mergeCells count="2">
    <mergeCell ref="A1:AB1"/>
    <mergeCell ref="A2:AB2"/>
  </mergeCells>
  <conditionalFormatting sqref="AB5:AB9">
    <cfRule type="containsText" priority="2" operator="containsText" aboveAverage="0" equalAverage="0" bottom="0" percent="0" rank="0" text="LOSS" dxfId="2">
      <formula>NOT(ISERROR(SEARCH("LOSS",AB5)))</formula>
    </cfRule>
    <cfRule type="containsText" priority="3" operator="containsText" aboveAverage="0" equalAverage="0" bottom="0" percent="0" rank="0" text="THIN" dxfId="3">
      <formula>NOT(ISERROR(SEARCH("THIN",AB5)))</formula>
    </cfRule>
    <cfRule type="containsText" priority="4" operator="containsText" aboveAverage="0" equalAverage="0" bottom="0" percent="0" rank="0" text="GOOD" dxfId="4">
      <formula>NOT(ISERROR(SEARCH("GOOD",AB5)))</formula>
    </cfRule>
  </conditionalFormatting>
  <dataValidations count="1">
    <dataValidation allowBlank="false" errorStyle="stop" operator="between" showDropDown="false" showErrorMessage="false" showInputMessage="false" sqref="C5:C9" type="list">
      <formula1>'FLEET &amp; SETTINGS'!$A$14:$A$16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2" min="1" style="0" width="14"/>
  </cols>
  <sheetData>
    <row r="1" customFormat="false" ht="38" hidden="false" customHeight="true" outlineLevel="0" collapsed="false">
      <c r="A1" s="1" t="s">
        <v>126</v>
      </c>
      <c r="B1" s="1" t="s">
        <v>126</v>
      </c>
      <c r="C1" s="1" t="s">
        <v>126</v>
      </c>
      <c r="D1" s="1" t="s">
        <v>126</v>
      </c>
      <c r="E1" s="1" t="s">
        <v>126</v>
      </c>
      <c r="F1" s="1" t="s">
        <v>126</v>
      </c>
      <c r="G1" s="1" t="s">
        <v>126</v>
      </c>
      <c r="H1" s="1" t="s">
        <v>126</v>
      </c>
      <c r="I1" s="1" t="s">
        <v>126</v>
      </c>
      <c r="J1" s="1" t="s">
        <v>126</v>
      </c>
      <c r="K1" s="1" t="s">
        <v>126</v>
      </c>
      <c r="L1" s="1" t="s">
        <v>126</v>
      </c>
    </row>
    <row r="2" customFormat="false" ht="28" hidden="false" customHeight="true" outlineLevel="0" collapsed="false">
      <c r="A2" s="2" t="s">
        <v>127</v>
      </c>
      <c r="B2" s="2" t="s">
        <v>127</v>
      </c>
      <c r="C2" s="2" t="s">
        <v>127</v>
      </c>
      <c r="D2" s="2" t="s">
        <v>127</v>
      </c>
      <c r="E2" s="2" t="s">
        <v>127</v>
      </c>
      <c r="F2" s="2" t="s">
        <v>127</v>
      </c>
      <c r="G2" s="2" t="s">
        <v>127</v>
      </c>
      <c r="H2" s="2" t="s">
        <v>127</v>
      </c>
      <c r="I2" s="2" t="s">
        <v>127</v>
      </c>
      <c r="J2" s="2" t="s">
        <v>127</v>
      </c>
      <c r="K2" s="2" t="s">
        <v>127</v>
      </c>
      <c r="L2" s="2" t="s">
        <v>127</v>
      </c>
    </row>
    <row r="4" customFormat="false" ht="15" hidden="false" customHeight="false" outlineLevel="0" collapsed="false">
      <c r="A4" s="44" t="s">
        <v>128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6" customFormat="false" ht="15" hidden="false" customHeight="false" outlineLevel="0" collapsed="false">
      <c r="A6" s="45" t="s">
        <v>129</v>
      </c>
      <c r="B6" s="45"/>
      <c r="C6" s="45"/>
      <c r="D6" s="45" t="s">
        <v>130</v>
      </c>
      <c r="E6" s="45"/>
      <c r="F6" s="45"/>
      <c r="G6" s="45" t="s">
        <v>131</v>
      </c>
      <c r="H6" s="45"/>
      <c r="I6" s="45"/>
      <c r="J6" s="45" t="s">
        <v>132</v>
      </c>
      <c r="K6" s="45"/>
      <c r="L6" s="45"/>
    </row>
    <row r="7" customFormat="false" ht="15" hidden="false" customHeight="false" outlineLevel="0" collapsed="false">
      <c r="A7" s="46" t="n">
        <f aca="false">SUM(TRIPS!H5:H9)</f>
        <v>9350</v>
      </c>
      <c r="B7" s="46"/>
      <c r="C7" s="46"/>
      <c r="D7" s="46" t="n">
        <f aca="false">SUM(TRIPS!W5:W9)</f>
        <v>6793.90554612795</v>
      </c>
      <c r="E7" s="46"/>
      <c r="F7" s="46"/>
      <c r="G7" s="46" t="n">
        <f aca="false">SUM(TRIPS!Y5:Y9)</f>
        <v>2556.09445387205</v>
      </c>
      <c r="H7" s="46"/>
      <c r="I7" s="46"/>
      <c r="J7" s="47" t="n">
        <f aca="false">IFERROR(SUM(TRIPS!Y5:Y9)/SUM(TRIPS!H5:H9),0)</f>
        <v>0.273379085975621</v>
      </c>
      <c r="K7" s="47"/>
      <c r="L7" s="47"/>
    </row>
    <row r="8" customFormat="false" ht="15" hidden="false" customHeight="false" outlineLevel="0" collapsed="false">
      <c r="A8" s="46"/>
      <c r="B8" s="46"/>
      <c r="C8" s="46"/>
      <c r="D8" s="46"/>
      <c r="E8" s="46"/>
      <c r="F8" s="46"/>
      <c r="G8" s="46"/>
      <c r="H8" s="46"/>
      <c r="I8" s="46"/>
      <c r="J8" s="47"/>
      <c r="K8" s="47"/>
      <c r="L8" s="47"/>
    </row>
    <row r="10" customFormat="false" ht="15" hidden="false" customHeight="false" outlineLevel="0" collapsed="false">
      <c r="A10" s="45" t="s">
        <v>133</v>
      </c>
      <c r="B10" s="45"/>
      <c r="C10" s="45"/>
      <c r="D10" s="45" t="s">
        <v>134</v>
      </c>
      <c r="E10" s="45"/>
      <c r="F10" s="45"/>
      <c r="G10" s="45" t="s">
        <v>135</v>
      </c>
      <c r="H10" s="45"/>
      <c r="I10" s="45"/>
      <c r="J10" s="45" t="s">
        <v>136</v>
      </c>
      <c r="K10" s="45"/>
      <c r="L10" s="45"/>
    </row>
    <row r="11" customFormat="false" ht="15" hidden="false" customHeight="false" outlineLevel="0" collapsed="false">
      <c r="A11" s="48" t="n">
        <f aca="false">COUNT(TRIPS!A5:A9)</f>
        <v>5</v>
      </c>
      <c r="B11" s="48"/>
      <c r="C11" s="48"/>
      <c r="D11" s="49" t="n">
        <f aca="false">SUM(TRIPS!G5:G9)</f>
        <v>5920</v>
      </c>
      <c r="E11" s="49"/>
      <c r="F11" s="49"/>
      <c r="G11" s="50" t="n">
        <f aca="false">IFERROR(SUM(TRIPS!W5:W9)/SUM(TRIPS!G5:G9),0)</f>
        <v>1.14761918008918</v>
      </c>
      <c r="H11" s="50"/>
      <c r="I11" s="50"/>
      <c r="J11" s="47" t="n">
        <f aca="false">IFERROR(SUM(TRIPS!F5:F9)/SUM(TRIPS!G5:G9),0)</f>
        <v>0.116554054054054</v>
      </c>
      <c r="K11" s="47"/>
      <c r="L11" s="47"/>
    </row>
    <row r="12" customFormat="false" ht="15" hidden="false" customHeight="false" outlineLevel="0" collapsed="false">
      <c r="A12" s="48"/>
      <c r="B12" s="48"/>
      <c r="C12" s="48"/>
      <c r="D12" s="49"/>
      <c r="E12" s="49"/>
      <c r="F12" s="49"/>
      <c r="G12" s="50"/>
      <c r="H12" s="50"/>
      <c r="I12" s="50"/>
      <c r="J12" s="47"/>
      <c r="K12" s="47"/>
      <c r="L12" s="47"/>
    </row>
    <row r="15" customFormat="false" ht="24" hidden="false" customHeight="true" outlineLevel="0" collapsed="false">
      <c r="A15" s="7" t="s">
        <v>137</v>
      </c>
      <c r="B15" s="7" t="s">
        <v>137</v>
      </c>
      <c r="C15" s="7" t="s">
        <v>137</v>
      </c>
      <c r="D15" s="7" t="s">
        <v>137</v>
      </c>
      <c r="E15" s="7" t="s">
        <v>137</v>
      </c>
      <c r="F15" s="7" t="s">
        <v>137</v>
      </c>
      <c r="H15" s="7" t="s">
        <v>138</v>
      </c>
      <c r="I15" s="7" t="s">
        <v>138</v>
      </c>
      <c r="J15" s="7" t="s">
        <v>138</v>
      </c>
      <c r="K15" s="7" t="s">
        <v>138</v>
      </c>
      <c r="L15" s="7" t="s">
        <v>138</v>
      </c>
    </row>
    <row r="16" customFormat="false" ht="15" hidden="false" customHeight="false" outlineLevel="0" collapsed="false">
      <c r="A16" s="19" t="s">
        <v>100</v>
      </c>
      <c r="B16" s="19" t="s">
        <v>139</v>
      </c>
      <c r="C16" s="19" t="s">
        <v>140</v>
      </c>
      <c r="D16" s="19" t="s">
        <v>119</v>
      </c>
      <c r="E16" s="19" t="s">
        <v>120</v>
      </c>
      <c r="F16" s="19" t="s">
        <v>141</v>
      </c>
      <c r="H16" s="19" t="s">
        <v>69</v>
      </c>
      <c r="I16" s="19" t="s">
        <v>139</v>
      </c>
      <c r="J16" s="19" t="s">
        <v>140</v>
      </c>
      <c r="K16" s="19" t="s">
        <v>119</v>
      </c>
      <c r="L16" s="19" t="s">
        <v>120</v>
      </c>
    </row>
    <row r="17" customFormat="false" ht="15" hidden="false" customHeight="false" outlineLevel="0" collapsed="false">
      <c r="A17" s="51" t="str">
        <f aca="false">TEXT(DATE('FLEET &amp; SETTINGS'!$B$5,1,1),"mmm")</f>
        <v>Jan</v>
      </c>
      <c r="B17" s="52" t="n">
        <f aca="false">SUMIF(TRIPS!$B$5:$B$9,TEXT(DATE('FLEET &amp; SETTINGS'!$B$5,1,1),"yyyy-mm"),TRIPS!$H$5:$H$9)</f>
        <v>0</v>
      </c>
      <c r="C17" s="52" t="n">
        <f aca="false">SUMIF(TRIPS!$B$5:$B$9,TEXT(DATE('FLEET &amp; SETTINGS'!$B$5,1,1),"yyyy-mm"),TRIPS!$W$5:$W$9)</f>
        <v>0</v>
      </c>
      <c r="D17" s="52" t="n">
        <f aca="false">B17-C17</f>
        <v>0</v>
      </c>
      <c r="E17" s="53" t="n">
        <f aca="false">IFERROR(D17/B17,0)</f>
        <v>0</v>
      </c>
      <c r="F17" s="51" t="n">
        <f aca="false">COUNTIF(TRIPS!$B$5:$B$9,TEXT(DATE('FLEET &amp; SETTINGS'!$B$5,1,1),"yyyy-mm"))</f>
        <v>0</v>
      </c>
      <c r="H17" s="51" t="str">
        <f aca="false">'FLEET &amp; SETTINGS'!A14</f>
        <v>VOLVO-01</v>
      </c>
      <c r="I17" s="52" t="n">
        <f aca="false">IF(H17="",0,SUMIF(TRIPS!$C$5:$C$9,H17,TRIPS!$H$5:$H$9))</f>
        <v>4380</v>
      </c>
      <c r="J17" s="52" t="n">
        <f aca="false">IF(H17="",0,SUMIF(TRIPS!$C$5:$C$9,H17,TRIPS!$W$5:$W$9))</f>
        <v>3133.22150909091</v>
      </c>
      <c r="K17" s="52" t="n">
        <f aca="false">I17-J17</f>
        <v>1246.77849090909</v>
      </c>
      <c r="L17" s="53" t="n">
        <f aca="false">IFERROR(K17/I17,0)</f>
        <v>0.284652623495226</v>
      </c>
    </row>
    <row r="18" customFormat="false" ht="15" hidden="false" customHeight="false" outlineLevel="0" collapsed="false">
      <c r="A18" s="51" t="str">
        <f aca="false">TEXT(DATE('FLEET &amp; SETTINGS'!$B$5,2,1),"mmm")</f>
        <v>Feb</v>
      </c>
      <c r="B18" s="52" t="n">
        <f aca="false">SUMIF(TRIPS!$B$5:$B$9,TEXT(DATE('FLEET &amp; SETTINGS'!$B$5,2,1),"yyyy-mm"),TRIPS!$H$5:$H$9)</f>
        <v>0</v>
      </c>
      <c r="C18" s="52" t="n">
        <f aca="false">SUMIF(TRIPS!$B$5:$B$9,TEXT(DATE('FLEET &amp; SETTINGS'!$B$5,2,1),"yyyy-mm"),TRIPS!$W$5:$W$9)</f>
        <v>0</v>
      </c>
      <c r="D18" s="52" t="n">
        <f aca="false">B18-C18</f>
        <v>0</v>
      </c>
      <c r="E18" s="53" t="n">
        <f aca="false">IFERROR(D18/B18,0)</f>
        <v>0</v>
      </c>
      <c r="F18" s="51" t="n">
        <f aca="false">COUNTIF(TRIPS!$B$5:$B$9,TEXT(DATE('FLEET &amp; SETTINGS'!$B$5,2,1),"yyyy-mm"))</f>
        <v>0</v>
      </c>
      <c r="H18" s="51" t="str">
        <f aca="false">'FLEET &amp; SETTINGS'!A15</f>
        <v>SCANIA-02</v>
      </c>
      <c r="I18" s="52" t="n">
        <f aca="false">IF(H18="",0,SUMIF(TRIPS!$C$5:$C$9,H18,TRIPS!$H$5:$H$9))</f>
        <v>2430</v>
      </c>
      <c r="J18" s="52" t="n">
        <f aca="false">IF(H18="",0,SUMIF(TRIPS!$C$5:$C$9,H18,TRIPS!$W$5:$W$9))</f>
        <v>1735.11433333333</v>
      </c>
      <c r="K18" s="52" t="n">
        <f aca="false">I18-J18</f>
        <v>694.885666666667</v>
      </c>
      <c r="L18" s="53" t="n">
        <f aca="false">IFERROR(K18/I18,0)</f>
        <v>0.285961179698217</v>
      </c>
    </row>
    <row r="19" customFormat="false" ht="15" hidden="false" customHeight="false" outlineLevel="0" collapsed="false">
      <c r="A19" s="51" t="str">
        <f aca="false">TEXT(DATE('FLEET &amp; SETTINGS'!$B$5,3,1),"mmm")</f>
        <v>Mar</v>
      </c>
      <c r="B19" s="52" t="n">
        <f aca="false">SUMIF(TRIPS!$B$5:$B$9,TEXT(DATE('FLEET &amp; SETTINGS'!$B$5,3,1),"yyyy-mm"),TRIPS!$H$5:$H$9)</f>
        <v>0</v>
      </c>
      <c r="C19" s="52" t="n">
        <f aca="false">SUMIF(TRIPS!$B$5:$B$9,TEXT(DATE('FLEET &amp; SETTINGS'!$B$5,3,1),"yyyy-mm"),TRIPS!$W$5:$W$9)</f>
        <v>0</v>
      </c>
      <c r="D19" s="52" t="n">
        <f aca="false">B19-C19</f>
        <v>0</v>
      </c>
      <c r="E19" s="53" t="n">
        <f aca="false">IFERROR(D19/B19,0)</f>
        <v>0</v>
      </c>
      <c r="F19" s="51" t="n">
        <f aca="false">COUNTIF(TRIPS!$B$5:$B$9,TEXT(DATE('FLEET &amp; SETTINGS'!$B$5,3,1),"yyyy-mm"))</f>
        <v>0</v>
      </c>
      <c r="H19" s="51" t="str">
        <f aca="false">'FLEET &amp; SETTINGS'!A16</f>
        <v>DAF-03</v>
      </c>
      <c r="I19" s="52" t="n">
        <f aca="false">IF(H19="",0,SUMIF(TRIPS!$C$5:$C$9,H19,TRIPS!$H$5:$H$9))</f>
        <v>2540</v>
      </c>
      <c r="J19" s="52" t="n">
        <f aca="false">IF(H19="",0,SUMIF(TRIPS!$C$5:$C$9,H19,TRIPS!$W$5:$W$9))</f>
        <v>1925.5697037037</v>
      </c>
      <c r="K19" s="52" t="n">
        <f aca="false">I19-J19</f>
        <v>614.430296296296</v>
      </c>
      <c r="L19" s="53" t="n">
        <f aca="false">IFERROR(K19/I19,0)</f>
        <v>0.241901691455235</v>
      </c>
    </row>
    <row r="20" customFormat="false" ht="15" hidden="false" customHeight="false" outlineLevel="0" collapsed="false">
      <c r="A20" s="51" t="str">
        <f aca="false">TEXT(DATE('FLEET &amp; SETTINGS'!$B$5,4,1),"mmm")</f>
        <v>Apr</v>
      </c>
      <c r="B20" s="52" t="n">
        <f aca="false">SUMIF(TRIPS!$B$5:$B$9,TEXT(DATE('FLEET &amp; SETTINGS'!$B$5,4,1),"yyyy-mm"),TRIPS!$H$5:$H$9)</f>
        <v>0</v>
      </c>
      <c r="C20" s="52" t="n">
        <f aca="false">SUMIF(TRIPS!$B$5:$B$9,TEXT(DATE('FLEET &amp; SETTINGS'!$B$5,4,1),"yyyy-mm"),TRIPS!$W$5:$W$9)</f>
        <v>0</v>
      </c>
      <c r="D20" s="52" t="n">
        <f aca="false">B20-C20</f>
        <v>0</v>
      </c>
      <c r="E20" s="53" t="n">
        <f aca="false">IFERROR(D20/B20,0)</f>
        <v>0</v>
      </c>
      <c r="F20" s="51" t="n">
        <f aca="false">COUNTIF(TRIPS!$B$5:$B$9,TEXT(DATE('FLEET &amp; SETTINGS'!$B$5,4,1),"yyyy-mm"))</f>
        <v>0</v>
      </c>
    </row>
    <row r="21" customFormat="false" ht="15" hidden="false" customHeight="false" outlineLevel="0" collapsed="false">
      <c r="A21" s="51" t="str">
        <f aca="false">TEXT(DATE('FLEET &amp; SETTINGS'!$B$5,5,1),"mmm")</f>
        <v>May</v>
      </c>
      <c r="B21" s="52" t="n">
        <f aca="false">SUMIF(TRIPS!$B$5:$B$9,TEXT(DATE('FLEET &amp; SETTINGS'!$B$5,5,1),"yyyy-mm"),TRIPS!$H$5:$H$9)</f>
        <v>0</v>
      </c>
      <c r="C21" s="52" t="n">
        <f aca="false">SUMIF(TRIPS!$B$5:$B$9,TEXT(DATE('FLEET &amp; SETTINGS'!$B$5,5,1),"yyyy-mm"),TRIPS!$W$5:$W$9)</f>
        <v>0</v>
      </c>
      <c r="D21" s="52" t="n">
        <f aca="false">B21-C21</f>
        <v>0</v>
      </c>
      <c r="E21" s="53" t="n">
        <f aca="false">IFERROR(D21/B21,0)</f>
        <v>0</v>
      </c>
      <c r="F21" s="51" t="n">
        <f aca="false">COUNTIF(TRIPS!$B$5:$B$9,TEXT(DATE('FLEET &amp; SETTINGS'!$B$5,5,1),"yyyy-mm"))</f>
        <v>0</v>
      </c>
    </row>
    <row r="22" customFormat="false" ht="15" hidden="false" customHeight="false" outlineLevel="0" collapsed="false">
      <c r="A22" s="51" t="str">
        <f aca="false">TEXT(DATE('FLEET &amp; SETTINGS'!$B$5,6,1),"mmm")</f>
        <v>Jun</v>
      </c>
      <c r="B22" s="52" t="n">
        <f aca="false">SUMIF(TRIPS!$B$5:$B$9,TEXT(DATE('FLEET &amp; SETTINGS'!$B$5,6,1),"yyyy-mm"),TRIPS!$H$5:$H$9)</f>
        <v>3600</v>
      </c>
      <c r="C22" s="52" t="n">
        <f aca="false">SUMIF(TRIPS!$B$5:$B$9,TEXT(DATE('FLEET &amp; SETTINGS'!$B$5,6,1),"yyyy-mm"),TRIPS!$W$5:$W$9)</f>
        <v>2564.1728969697</v>
      </c>
      <c r="D22" s="52" t="n">
        <f aca="false">B22-C22</f>
        <v>1035.8271030303</v>
      </c>
      <c r="E22" s="53" t="n">
        <f aca="false">IFERROR(D22/B22,0)</f>
        <v>0.287729750841751</v>
      </c>
      <c r="F22" s="51" t="n">
        <f aca="false">COUNTIF(TRIPS!$B$5:$B$9,TEXT(DATE('FLEET &amp; SETTINGS'!$B$5,6,1),"yyyy-mm"))</f>
        <v>2</v>
      </c>
    </row>
    <row r="23" customFormat="false" ht="15" hidden="false" customHeight="false" outlineLevel="0" collapsed="false">
      <c r="A23" s="51" t="str">
        <f aca="false">TEXT(DATE('FLEET &amp; SETTINGS'!$B$5,7,1),"mmm")</f>
        <v>Jul</v>
      </c>
      <c r="B23" s="52" t="n">
        <f aca="false">SUMIF(TRIPS!$B$5:$B$9,TEXT(DATE('FLEET &amp; SETTINGS'!$B$5,7,1),"yyyy-mm"),TRIPS!$H$5:$H$9)</f>
        <v>2540</v>
      </c>
      <c r="C23" s="52" t="n">
        <f aca="false">SUMIF(TRIPS!$B$5:$B$9,TEXT(DATE('FLEET &amp; SETTINGS'!$B$5,7,1),"yyyy-mm"),TRIPS!$W$5:$W$9)</f>
        <v>1925.5697037037</v>
      </c>
      <c r="D23" s="52" t="n">
        <f aca="false">B23-C23</f>
        <v>614.430296296296</v>
      </c>
      <c r="E23" s="53" t="n">
        <f aca="false">IFERROR(D23/B23,0)</f>
        <v>0.241901691455235</v>
      </c>
      <c r="F23" s="51" t="n">
        <f aca="false">COUNTIF(TRIPS!$B$5:$B$9,TEXT(DATE('FLEET &amp; SETTINGS'!$B$5,7,1),"yyyy-mm"))</f>
        <v>1</v>
      </c>
    </row>
    <row r="24" customFormat="false" ht="15" hidden="false" customHeight="false" outlineLevel="0" collapsed="false">
      <c r="A24" s="51" t="str">
        <f aca="false">TEXT(DATE('FLEET &amp; SETTINGS'!$B$5,8,1),"mmm")</f>
        <v>Aug</v>
      </c>
      <c r="B24" s="52" t="n">
        <f aca="false">SUMIF(TRIPS!$B$5:$B$9,TEXT(DATE('FLEET &amp; SETTINGS'!$B$5,8,1),"yyyy-mm"),TRIPS!$H$5:$H$9)</f>
        <v>3210</v>
      </c>
      <c r="C24" s="52" t="n">
        <f aca="false">SUMIF(TRIPS!$B$5:$B$9,TEXT(DATE('FLEET &amp; SETTINGS'!$B$5,8,1),"yyyy-mm"),TRIPS!$W$5:$W$9)</f>
        <v>2304.16294545455</v>
      </c>
      <c r="D24" s="52" t="n">
        <f aca="false">B24-C24</f>
        <v>905.837054545455</v>
      </c>
      <c r="E24" s="53" t="n">
        <f aca="false">IFERROR(D24/B24,0)</f>
        <v>0.28219222883036</v>
      </c>
      <c r="F24" s="51" t="n">
        <f aca="false">COUNTIF(TRIPS!$B$5:$B$9,TEXT(DATE('FLEET &amp; SETTINGS'!$B$5,8,1),"yyyy-mm"))</f>
        <v>2</v>
      </c>
    </row>
    <row r="25" customFormat="false" ht="15" hidden="false" customHeight="false" outlineLevel="0" collapsed="false">
      <c r="A25" s="51" t="str">
        <f aca="false">TEXT(DATE('FLEET &amp; SETTINGS'!$B$5,9,1),"mmm")</f>
        <v>Sep</v>
      </c>
      <c r="B25" s="52" t="n">
        <f aca="false">SUMIF(TRIPS!$B$5:$B$9,TEXT(DATE('FLEET &amp; SETTINGS'!$B$5,9,1),"yyyy-mm"),TRIPS!$H$5:$H$9)</f>
        <v>0</v>
      </c>
      <c r="C25" s="52" t="n">
        <f aca="false">SUMIF(TRIPS!$B$5:$B$9,TEXT(DATE('FLEET &amp; SETTINGS'!$B$5,9,1),"yyyy-mm"),TRIPS!$W$5:$W$9)</f>
        <v>0</v>
      </c>
      <c r="D25" s="52" t="n">
        <f aca="false">B25-C25</f>
        <v>0</v>
      </c>
      <c r="E25" s="53" t="n">
        <f aca="false">IFERROR(D25/B25,0)</f>
        <v>0</v>
      </c>
      <c r="F25" s="51" t="n">
        <f aca="false">COUNTIF(TRIPS!$B$5:$B$9,TEXT(DATE('FLEET &amp; SETTINGS'!$B$5,9,1),"yyyy-mm"))</f>
        <v>0</v>
      </c>
    </row>
    <row r="26" customFormat="false" ht="15" hidden="false" customHeight="false" outlineLevel="0" collapsed="false">
      <c r="A26" s="51" t="str">
        <f aca="false">TEXT(DATE('FLEET &amp; SETTINGS'!$B$5,10,1),"mmm")</f>
        <v>Oct</v>
      </c>
      <c r="B26" s="52" t="n">
        <f aca="false">SUMIF(TRIPS!$B$5:$B$9,TEXT(DATE('FLEET &amp; SETTINGS'!$B$5,10,1),"yyyy-mm"),TRIPS!$H$5:$H$9)</f>
        <v>0</v>
      </c>
      <c r="C26" s="52" t="n">
        <f aca="false">SUMIF(TRIPS!$B$5:$B$9,TEXT(DATE('FLEET &amp; SETTINGS'!$B$5,10,1),"yyyy-mm"),TRIPS!$W$5:$W$9)</f>
        <v>0</v>
      </c>
      <c r="D26" s="52" t="n">
        <f aca="false">B26-C26</f>
        <v>0</v>
      </c>
      <c r="E26" s="53" t="n">
        <f aca="false">IFERROR(D26/B26,0)</f>
        <v>0</v>
      </c>
      <c r="F26" s="51" t="n">
        <f aca="false">COUNTIF(TRIPS!$B$5:$B$9,TEXT(DATE('FLEET &amp; SETTINGS'!$B$5,10,1),"yyyy-mm"))</f>
        <v>0</v>
      </c>
    </row>
    <row r="27" customFormat="false" ht="15" hidden="false" customHeight="false" outlineLevel="0" collapsed="false">
      <c r="A27" s="51" t="str">
        <f aca="false">TEXT(DATE('FLEET &amp; SETTINGS'!$B$5,11,1),"mmm")</f>
        <v>Nov</v>
      </c>
      <c r="B27" s="52" t="n">
        <f aca="false">SUMIF(TRIPS!$B$5:$B$9,TEXT(DATE('FLEET &amp; SETTINGS'!$B$5,11,1),"yyyy-mm"),TRIPS!$H$5:$H$9)</f>
        <v>0</v>
      </c>
      <c r="C27" s="52" t="n">
        <f aca="false">SUMIF(TRIPS!$B$5:$B$9,TEXT(DATE('FLEET &amp; SETTINGS'!$B$5,11,1),"yyyy-mm"),TRIPS!$W$5:$W$9)</f>
        <v>0</v>
      </c>
      <c r="D27" s="52" t="n">
        <f aca="false">B27-C27</f>
        <v>0</v>
      </c>
      <c r="E27" s="53" t="n">
        <f aca="false">IFERROR(D27/B27,0)</f>
        <v>0</v>
      </c>
      <c r="F27" s="51" t="n">
        <f aca="false">COUNTIF(TRIPS!$B$5:$B$9,TEXT(DATE('FLEET &amp; SETTINGS'!$B$5,11,1),"yyyy-mm"))</f>
        <v>0</v>
      </c>
    </row>
    <row r="28" customFormat="false" ht="15" hidden="false" customHeight="false" outlineLevel="0" collapsed="false">
      <c r="A28" s="51" t="str">
        <f aca="false">TEXT(DATE('FLEET &amp; SETTINGS'!$B$5,12,1),"mmm")</f>
        <v>Dec</v>
      </c>
      <c r="B28" s="52" t="n">
        <f aca="false">SUMIF(TRIPS!$B$5:$B$9,TEXT(DATE('FLEET &amp; SETTINGS'!$B$5,12,1),"yyyy-mm"),TRIPS!$H$5:$H$9)</f>
        <v>0</v>
      </c>
      <c r="C28" s="52" t="n">
        <f aca="false">SUMIF(TRIPS!$B$5:$B$9,TEXT(DATE('FLEET &amp; SETTINGS'!$B$5,12,1),"yyyy-mm"),TRIPS!$W$5:$W$9)</f>
        <v>0</v>
      </c>
      <c r="D28" s="52" t="n">
        <f aca="false">B28-C28</f>
        <v>0</v>
      </c>
      <c r="E28" s="53" t="n">
        <f aca="false">IFERROR(D28/B28,0)</f>
        <v>0</v>
      </c>
      <c r="F28" s="51" t="n">
        <f aca="false">COUNTIF(TRIPS!$B$5:$B$9,TEXT(DATE('FLEET &amp; SETTINGS'!$B$5,12,1),"yyyy-mm"))</f>
        <v>0</v>
      </c>
    </row>
  </sheetData>
  <mergeCells count="21">
    <mergeCell ref="A1:L1"/>
    <mergeCell ref="A2:L2"/>
    <mergeCell ref="A4:L4"/>
    <mergeCell ref="A6:C6"/>
    <mergeCell ref="D6:F6"/>
    <mergeCell ref="G6:I6"/>
    <mergeCell ref="J6:L6"/>
    <mergeCell ref="A7:C8"/>
    <mergeCell ref="D7:F8"/>
    <mergeCell ref="G7:I8"/>
    <mergeCell ref="J7:L8"/>
    <mergeCell ref="A10:C10"/>
    <mergeCell ref="D10:F10"/>
    <mergeCell ref="G10:I10"/>
    <mergeCell ref="J10:L10"/>
    <mergeCell ref="A11:C12"/>
    <mergeCell ref="D11:F12"/>
    <mergeCell ref="G11:I12"/>
    <mergeCell ref="J11:L12"/>
    <mergeCell ref="A15:F15"/>
    <mergeCell ref="H15:L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8"/>
    <col collapsed="false" customWidth="true" hidden="false" outlineLevel="0" max="4" min="4" style="0" width="48"/>
  </cols>
  <sheetData>
    <row r="1" customFormat="false" ht="38" hidden="false" customHeight="true" outlineLevel="0" collapsed="false">
      <c r="A1" s="1" t="s">
        <v>142</v>
      </c>
      <c r="B1" s="1" t="s">
        <v>142</v>
      </c>
      <c r="C1" s="1" t="s">
        <v>142</v>
      </c>
      <c r="D1" s="1" t="s">
        <v>142</v>
      </c>
      <c r="E1" s="1" t="s">
        <v>142</v>
      </c>
      <c r="F1" s="1" t="s">
        <v>142</v>
      </c>
    </row>
    <row r="2" customFormat="false" ht="28" hidden="false" customHeight="true" outlineLevel="0" collapsed="false">
      <c r="A2" s="2" t="s">
        <v>143</v>
      </c>
      <c r="B2" s="2" t="s">
        <v>143</v>
      </c>
      <c r="C2" s="2" t="s">
        <v>143</v>
      </c>
      <c r="D2" s="2" t="s">
        <v>143</v>
      </c>
      <c r="E2" s="2" t="s">
        <v>143</v>
      </c>
      <c r="F2" s="2" t="s">
        <v>143</v>
      </c>
    </row>
    <row r="4" customFormat="false" ht="15" hidden="false" customHeight="false" outlineLevel="0" collapsed="false">
      <c r="A4" s="19" t="s">
        <v>144</v>
      </c>
      <c r="B4" s="19" t="s">
        <v>122</v>
      </c>
      <c r="C4" s="19" t="s">
        <v>145</v>
      </c>
      <c r="D4" s="19" t="s">
        <v>146</v>
      </c>
    </row>
    <row r="5" customFormat="false" ht="15" hidden="false" customHeight="false" outlineLevel="0" collapsed="false">
      <c r="A5" s="51" t="s">
        <v>147</v>
      </c>
      <c r="B5" s="54" t="str">
        <f aca="false">IF(C5=0,"OK","CHECK")</f>
        <v>OK</v>
      </c>
      <c r="C5" s="51" t="n">
        <f aca="false">COUNTIF(TRIPS!E5:G9,"&lt;0")</f>
        <v>0</v>
      </c>
      <c r="D5" s="51" t="s">
        <v>148</v>
      </c>
    </row>
    <row r="6" customFormat="false" ht="15" hidden="false" customHeight="false" outlineLevel="0" collapsed="false">
      <c r="A6" s="51" t="s">
        <v>149</v>
      </c>
      <c r="B6" s="54" t="str">
        <f aca="false">IF(C6=0,"OK","CHECK")</f>
        <v>OK</v>
      </c>
      <c r="C6" s="51" t="n">
        <f aca="false">COUNTIF(TRIPS!H5:H9,"&lt;0")</f>
        <v>0</v>
      </c>
      <c r="D6" s="51" t="s">
        <v>150</v>
      </c>
    </row>
    <row r="7" customFormat="false" ht="15" hidden="false" customHeight="false" outlineLevel="0" collapsed="false">
      <c r="A7" s="51" t="s">
        <v>151</v>
      </c>
      <c r="B7" s="54" t="str">
        <f aca="false">IF(C7=0,"OK","CHECK")</f>
        <v>OK</v>
      </c>
      <c r="C7" s="51" t="n">
        <f aca="false">COUNTIFS(TRIPS!A5:A9,"&lt;&gt;",TRIPS!C5:C9,"")</f>
        <v>0</v>
      </c>
      <c r="D7" s="51" t="s">
        <v>152</v>
      </c>
    </row>
    <row r="8" customFormat="false" ht="15" hidden="false" customHeight="false" outlineLevel="0" collapsed="false">
      <c r="A8" s="51" t="s">
        <v>153</v>
      </c>
      <c r="B8" s="54" t="str">
        <f aca="false">IF(C8=0,"OK","CHECK")</f>
        <v>OK</v>
      </c>
      <c r="C8" s="51" t="n">
        <f aca="false">COUNTIFS(TRIPS!A5:A9,"&lt;&gt;",TRIPS!G5:G9,"&lt;=0")</f>
        <v>0</v>
      </c>
      <c r="D8" s="51" t="s">
        <v>154</v>
      </c>
    </row>
    <row r="9" customFormat="false" ht="15" hidden="false" customHeight="false" outlineLevel="0" collapsed="false">
      <c r="A9" s="51" t="s">
        <v>155</v>
      </c>
      <c r="B9" s="54" t="str">
        <f aca="false">IF(ABS(C9)&lt;0.01,"OK","CHECK")</f>
        <v>OK</v>
      </c>
      <c r="C9" s="51" t="n">
        <f aca="false">SUM(TRIPS!H5:H9)-DASHBOARD!A7</f>
        <v>0</v>
      </c>
      <c r="D9" s="51" t="s">
        <v>156</v>
      </c>
    </row>
    <row r="10" customFormat="false" ht="15" hidden="false" customHeight="false" outlineLevel="0" collapsed="false">
      <c r="A10" s="51" t="s">
        <v>157</v>
      </c>
      <c r="B10" s="54" t="str">
        <f aca="false">IF(ABS(C10)&lt;0.01,"OK","CHECK")</f>
        <v>OK</v>
      </c>
      <c r="C10" s="51" t="n">
        <f aca="false">SUM(TRIPS!Y5:Y9)-DASHBOARD!G7</f>
        <v>0</v>
      </c>
      <c r="D10" s="51" t="s">
        <v>156</v>
      </c>
    </row>
    <row r="11" customFormat="false" ht="15" hidden="false" customHeight="false" outlineLevel="0" collapsed="false">
      <c r="A11" s="51" t="s">
        <v>158</v>
      </c>
      <c r="B11" s="54" t="str">
        <f aca="false">IF(ABS(C11)&lt;0.01,"OK","CHECK")</f>
        <v>OK</v>
      </c>
      <c r="C11" s="51" t="n">
        <f aca="false">'QUOTE CHECK'!G14-('QUOTE CHECK'!C10-'QUOTE CHECK'!G11)</f>
        <v>0</v>
      </c>
      <c r="D11" s="51" t="s">
        <v>159</v>
      </c>
    </row>
    <row r="14" customFormat="false" ht="16.15" hidden="false" customHeight="false" outlineLevel="0" collapsed="false">
      <c r="A14" s="55" t="s">
        <v>160</v>
      </c>
      <c r="B14" s="55" t="str">
        <f aca="false">IF(COUNTIF(B5:B11,"CHECK")=0,"MODEL OK","REVIEW REQUIRED")</f>
        <v>MODEL OK</v>
      </c>
    </row>
  </sheetData>
  <mergeCells count="2">
    <mergeCell ref="A1:F1"/>
    <mergeCell ref="A2:F2"/>
  </mergeCells>
  <conditionalFormatting sqref="B5:B11">
    <cfRule type="containsText" priority="2" operator="containsText" aboveAverage="0" equalAverage="0" bottom="0" percent="0" rank="0" text="CHECK" dxfId="5">
      <formula>NOT(ISERROR(SEARCH("CHECK",B5)))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